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348" windowWidth="8328" windowHeight="8124"/>
  </bookViews>
  <sheets>
    <sheet name="火" sheetId="1" r:id="rId1"/>
    <sheet name="水" sheetId="9" r:id="rId2"/>
    <sheet name="風" sheetId="10" r:id="rId3"/>
    <sheet name="雷" sheetId="11" r:id="rId4"/>
    <sheet name="光" sheetId="12" r:id="rId5"/>
    <sheet name="闇" sheetId="13" r:id="rId6"/>
    <sheet name="比較" sheetId="14" r:id="rId7"/>
  </sheets>
  <calcPr calcId="125725"/>
</workbook>
</file>

<file path=xl/calcChain.xml><?xml version="1.0" encoding="utf-8"?>
<calcChain xmlns="http://schemas.openxmlformats.org/spreadsheetml/2006/main">
  <c r="F13" i="10"/>
  <c r="E13" s="1"/>
  <c r="F20" i="13"/>
  <c r="E20" s="1"/>
  <c r="F19"/>
  <c r="E19" s="1"/>
  <c r="F18"/>
  <c r="E18" s="1"/>
  <c r="F17"/>
  <c r="E17" s="1"/>
  <c r="F16"/>
  <c r="E16" s="1"/>
  <c r="F15"/>
  <c r="F14"/>
  <c r="E14" s="1"/>
  <c r="F13"/>
  <c r="E13" s="1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F20" i="12"/>
  <c r="E20"/>
  <c r="F19"/>
  <c r="E19"/>
  <c r="F18"/>
  <c r="E18"/>
  <c r="F17"/>
  <c r="E17"/>
  <c r="F16"/>
  <c r="E16"/>
  <c r="F15"/>
  <c r="F14"/>
  <c r="E14" s="1"/>
  <c r="F13"/>
  <c r="E13" s="1"/>
  <c r="F12"/>
  <c r="E12" s="1"/>
  <c r="F11"/>
  <c r="E11"/>
  <c r="F10"/>
  <c r="E10"/>
  <c r="F9"/>
  <c r="E9"/>
  <c r="F8"/>
  <c r="E8" s="1"/>
  <c r="F7"/>
  <c r="E7" s="1"/>
  <c r="F6"/>
  <c r="E6" s="1"/>
  <c r="F5"/>
  <c r="E5" s="1"/>
  <c r="F4"/>
  <c r="E4" s="1"/>
  <c r="F3"/>
  <c r="E3" s="1"/>
  <c r="F20" i="11"/>
  <c r="E20" s="1"/>
  <c r="F19"/>
  <c r="E19" s="1"/>
  <c r="F18"/>
  <c r="E18" s="1"/>
  <c r="F17"/>
  <c r="E17" s="1"/>
  <c r="F16"/>
  <c r="E16" s="1"/>
  <c r="F15"/>
  <c r="F14"/>
  <c r="E14" s="1"/>
  <c r="F13"/>
  <c r="E13" s="1"/>
  <c r="F12"/>
  <c r="E12" s="1"/>
  <c r="F11"/>
  <c r="E11"/>
  <c r="F10"/>
  <c r="E10"/>
  <c r="C9" s="1"/>
  <c r="B24" s="1"/>
  <c r="E7" i="14" s="1"/>
  <c r="F9" i="11"/>
  <c r="E9"/>
  <c r="F8"/>
  <c r="E8"/>
  <c r="F7"/>
  <c r="E7" s="1"/>
  <c r="F6"/>
  <c r="E6"/>
  <c r="F5"/>
  <c r="E5" s="1"/>
  <c r="F4"/>
  <c r="E4"/>
  <c r="F3"/>
  <c r="E3" s="1"/>
  <c r="F20" i="10"/>
  <c r="E20"/>
  <c r="F19"/>
  <c r="E19" s="1"/>
  <c r="F18"/>
  <c r="E18"/>
  <c r="F17"/>
  <c r="E17" s="1"/>
  <c r="F16"/>
  <c r="E16"/>
  <c r="F15"/>
  <c r="F14"/>
  <c r="E14" s="1"/>
  <c r="F12"/>
  <c r="E12" s="1"/>
  <c r="F11"/>
  <c r="E11"/>
  <c r="F10"/>
  <c r="E10"/>
  <c r="F9"/>
  <c r="E9"/>
  <c r="F8"/>
  <c r="E8" s="1"/>
  <c r="F7"/>
  <c r="E7" s="1"/>
  <c r="F6"/>
  <c r="E6" s="1"/>
  <c r="F5"/>
  <c r="E5" s="1"/>
  <c r="F4"/>
  <c r="E4" s="1"/>
  <c r="F3"/>
  <c r="E3" s="1"/>
  <c r="F20" i="9"/>
  <c r="E20" s="1"/>
  <c r="F19"/>
  <c r="E19" s="1"/>
  <c r="F18"/>
  <c r="E18" s="1"/>
  <c r="F17"/>
  <c r="E17" s="1"/>
  <c r="F16"/>
  <c r="E16" s="1"/>
  <c r="F15"/>
  <c r="F14"/>
  <c r="E14" s="1"/>
  <c r="F13"/>
  <c r="E13" s="1"/>
  <c r="F12"/>
  <c r="E12" s="1"/>
  <c r="F11"/>
  <c r="E11"/>
  <c r="F10"/>
  <c r="E10"/>
  <c r="C9" s="1"/>
  <c r="B24" s="1"/>
  <c r="C7" i="14" s="1"/>
  <c r="F9" i="9"/>
  <c r="E9"/>
  <c r="F8"/>
  <c r="E8" s="1"/>
  <c r="F7"/>
  <c r="E7" s="1"/>
  <c r="F6"/>
  <c r="E6" s="1"/>
  <c r="F5"/>
  <c r="E5" s="1"/>
  <c r="F4"/>
  <c r="E4" s="1"/>
  <c r="F3"/>
  <c r="E3"/>
  <c r="F3" i="1"/>
  <c r="E3" s="1"/>
  <c r="D3" i="9"/>
  <c r="D3" i="1"/>
  <c r="D6"/>
  <c r="E12"/>
  <c r="E11"/>
  <c r="C9" s="1"/>
  <c r="B24" s="1"/>
  <c r="B7" i="14" s="1"/>
  <c r="E10" i="1"/>
  <c r="E9"/>
  <c r="E8"/>
  <c r="E7"/>
  <c r="E4"/>
  <c r="F20"/>
  <c r="E20" s="1"/>
  <c r="F19"/>
  <c r="E19" s="1"/>
  <c r="F18"/>
  <c r="E18" s="1"/>
  <c r="C18" s="1"/>
  <c r="F17"/>
  <c r="E17" s="1"/>
  <c r="F16"/>
  <c r="E16" s="1"/>
  <c r="C15" s="1"/>
  <c r="F15"/>
  <c r="F14"/>
  <c r="E14" s="1"/>
  <c r="F13"/>
  <c r="E13" s="1"/>
  <c r="F12"/>
  <c r="F11"/>
  <c r="F10"/>
  <c r="F9"/>
  <c r="F8"/>
  <c r="F7"/>
  <c r="F6"/>
  <c r="E6" s="1"/>
  <c r="F5"/>
  <c r="E5" s="1"/>
  <c r="F4"/>
  <c r="T12" i="9"/>
  <c r="C9" i="10"/>
  <c r="B24" s="1"/>
  <c r="D7" i="14" s="1"/>
  <c r="U12" i="1"/>
  <c r="B10" i="14" s="1"/>
  <c r="T12" i="1"/>
  <c r="B13" i="14" s="1"/>
  <c r="U12" i="9"/>
  <c r="T12" i="11"/>
  <c r="U12"/>
  <c r="T12" i="10"/>
  <c r="T21" i="1"/>
  <c r="B14" i="14" s="1"/>
  <c r="U21" i="1"/>
  <c r="B11" i="14" s="1"/>
  <c r="U12" i="10"/>
  <c r="U21" i="11"/>
  <c r="E11" i="14" s="1"/>
  <c r="T21" i="11"/>
  <c r="E14" i="14" s="1"/>
  <c r="G2"/>
  <c r="F2"/>
  <c r="E2"/>
  <c r="D2"/>
  <c r="C2"/>
  <c r="B2"/>
  <c r="T21" i="10"/>
  <c r="D14" i="14" s="1"/>
  <c r="U21" i="13"/>
  <c r="G11" i="14" s="1"/>
  <c r="T21" i="13"/>
  <c r="G14" i="14" s="1"/>
  <c r="U12" i="13"/>
  <c r="G10" i="14" s="1"/>
  <c r="T12" i="13"/>
  <c r="G13" i="14" s="1"/>
  <c r="U21" i="12"/>
  <c r="F11" i="14" s="1"/>
  <c r="T21" i="12"/>
  <c r="F14" i="14" s="1"/>
  <c r="U12" i="12"/>
  <c r="F10" i="14" s="1"/>
  <c r="T12" i="12"/>
  <c r="F13" i="14" s="1"/>
  <c r="U21" i="10"/>
  <c r="D11" i="14" s="1"/>
  <c r="D13"/>
  <c r="U21" i="9"/>
  <c r="C11" i="14" s="1"/>
  <c r="T21" i="9"/>
  <c r="C14" i="14" s="1"/>
  <c r="D6" i="13"/>
  <c r="D3"/>
  <c r="C15" i="12"/>
  <c r="B25" s="1"/>
  <c r="F8" i="14" s="1"/>
  <c r="D6" i="12"/>
  <c r="D3"/>
  <c r="D6" i="11"/>
  <c r="D3"/>
  <c r="D6" i="10"/>
  <c r="D3"/>
  <c r="D6" i="9"/>
  <c r="C3" i="1" l="1"/>
  <c r="C6"/>
  <c r="C15" i="9"/>
  <c r="B25" s="1"/>
  <c r="C8" i="14" s="1"/>
  <c r="C9" i="12"/>
  <c r="B24" s="1"/>
  <c r="F7" i="14" s="1"/>
  <c r="C9" i="13"/>
  <c r="B24" s="1"/>
  <c r="G7" i="14" s="1"/>
  <c r="C18" i="13"/>
  <c r="B26" s="1"/>
  <c r="G9" i="14" s="1"/>
  <c r="T24" i="11"/>
  <c r="E15" i="14" s="1"/>
  <c r="U24" i="9"/>
  <c r="C12" i="14" s="1"/>
  <c r="C18" i="9"/>
  <c r="B26" s="1"/>
  <c r="C9" i="14" s="1"/>
  <c r="T24" i="9"/>
  <c r="C15" i="14" s="1"/>
  <c r="C10"/>
  <c r="C13"/>
  <c r="C18" i="10"/>
  <c r="B26" s="1"/>
  <c r="D9" i="14" s="1"/>
  <c r="C15" i="10"/>
  <c r="B25" s="1"/>
  <c r="D8" i="14" s="1"/>
  <c r="U24" i="10"/>
  <c r="D12" i="14" s="1"/>
  <c r="D10"/>
  <c r="T24" i="10"/>
  <c r="T24" i="1"/>
  <c r="U24"/>
  <c r="U24" i="11"/>
  <c r="E12" i="14" s="1"/>
  <c r="E13"/>
  <c r="E10"/>
  <c r="U24" i="13"/>
  <c r="G12" i="14" s="1"/>
  <c r="T24" i="13"/>
  <c r="G15" i="14" s="1"/>
  <c r="U24" i="12"/>
  <c r="T24"/>
  <c r="C18" i="11"/>
  <c r="B26" s="1"/>
  <c r="E9" i="14" s="1"/>
  <c r="C15" i="11"/>
  <c r="B25" s="1"/>
  <c r="E8" i="14" s="1"/>
  <c r="C15" i="13"/>
  <c r="B25" s="1"/>
  <c r="G8" i="14" s="1"/>
  <c r="B26" i="1"/>
  <c r="B9" i="14" s="1"/>
  <c r="B25" i="1"/>
  <c r="B8" i="14" s="1"/>
  <c r="C6" i="13"/>
  <c r="B23" s="1"/>
  <c r="G4" i="14" s="1"/>
  <c r="C3" i="13"/>
  <c r="B22" s="1"/>
  <c r="C18" i="12"/>
  <c r="B26" s="1"/>
  <c r="F9" i="14" s="1"/>
  <c r="C6" i="12"/>
  <c r="C3"/>
  <c r="C6" i="11"/>
  <c r="C3"/>
  <c r="C6" i="10"/>
  <c r="C3"/>
  <c r="C6" i="9"/>
  <c r="B23" s="1"/>
  <c r="E23" s="1"/>
  <c r="C3"/>
  <c r="B22" s="1"/>
  <c r="E22" s="1"/>
  <c r="B22" i="12" l="1"/>
  <c r="E22" s="1"/>
  <c r="F5" i="14" s="1"/>
  <c r="B23" i="12"/>
  <c r="E23" s="1"/>
  <c r="F6" i="14" s="1"/>
  <c r="E4"/>
  <c r="B23" i="11"/>
  <c r="E23" s="1"/>
  <c r="E6" i="14" s="1"/>
  <c r="B22" i="11"/>
  <c r="E22" s="1"/>
  <c r="E5" i="14" s="1"/>
  <c r="B22" i="10"/>
  <c r="E22" s="1"/>
  <c r="D5" i="14" s="1"/>
  <c r="B23" i="10"/>
  <c r="E23" s="1"/>
  <c r="D6" i="14" s="1"/>
  <c r="B4"/>
  <c r="B23" i="1"/>
  <c r="E23" s="1"/>
  <c r="B6" i="14" s="1"/>
  <c r="B22" i="1"/>
  <c r="E22" s="1"/>
  <c r="B5" i="14" s="1"/>
  <c r="E22" i="13"/>
  <c r="G5" i="14" s="1"/>
  <c r="E23" i="13"/>
  <c r="G6" i="14" s="1"/>
  <c r="C6"/>
  <c r="C4"/>
  <c r="C3"/>
  <c r="C5"/>
  <c r="F12"/>
  <c r="F15"/>
  <c r="D15"/>
  <c r="B15"/>
  <c r="B12"/>
  <c r="F4" l="1"/>
  <c r="F3"/>
  <c r="E3"/>
  <c r="D3"/>
  <c r="D4"/>
  <c r="B3"/>
  <c r="G3"/>
</calcChain>
</file>

<file path=xl/sharedStrings.xml><?xml version="1.0" encoding="utf-8"?>
<sst xmlns="http://schemas.openxmlformats.org/spreadsheetml/2006/main" count="494" uniqueCount="131">
  <si>
    <t>火</t>
    <rPh sb="0" eb="1">
      <t>ヒ</t>
    </rPh>
    <phoneticPr fontId="1"/>
  </si>
  <si>
    <t>アサルト</t>
    <phoneticPr fontId="1"/>
  </si>
  <si>
    <t>大</t>
  </si>
  <si>
    <t>中</t>
    <rPh sb="0" eb="1">
      <t>チュウ</t>
    </rPh>
    <phoneticPr fontId="1"/>
  </si>
  <si>
    <t>小</t>
    <rPh sb="0" eb="1">
      <t>ショウ</t>
    </rPh>
    <phoneticPr fontId="1"/>
  </si>
  <si>
    <t>ディフェンダー</t>
    <phoneticPr fontId="1"/>
  </si>
  <si>
    <t>プライド</t>
    <phoneticPr fontId="1"/>
  </si>
  <si>
    <t>アセンション</t>
    <phoneticPr fontId="1"/>
  </si>
  <si>
    <t>水</t>
    <rPh sb="0" eb="1">
      <t>ミズ</t>
    </rPh>
    <phoneticPr fontId="1"/>
  </si>
  <si>
    <t>風</t>
    <rPh sb="0" eb="1">
      <t>カゼ</t>
    </rPh>
    <phoneticPr fontId="1"/>
  </si>
  <si>
    <t>雷</t>
    <rPh sb="0" eb="1">
      <t>カミナリ</t>
    </rPh>
    <phoneticPr fontId="1"/>
  </si>
  <si>
    <t>光</t>
    <rPh sb="0" eb="1">
      <t>ヒカリ</t>
    </rPh>
    <phoneticPr fontId="1"/>
  </si>
  <si>
    <t>闇</t>
    <rPh sb="0" eb="1">
      <t>ヤミ</t>
    </rPh>
    <phoneticPr fontId="1"/>
  </si>
  <si>
    <t>効果</t>
    <rPh sb="0" eb="2">
      <t>コウカ</t>
    </rPh>
    <phoneticPr fontId="1"/>
  </si>
  <si>
    <t>合計</t>
    <rPh sb="0" eb="2">
      <t>ゴウケイ</t>
    </rPh>
    <phoneticPr fontId="1"/>
  </si>
  <si>
    <t>個数</t>
    <rPh sb="0" eb="2">
      <t>コスウ</t>
    </rPh>
    <phoneticPr fontId="1"/>
  </si>
  <si>
    <t>"+%</t>
    <phoneticPr fontId="1"/>
  </si>
  <si>
    <t>エクシード
（上限）</t>
    <rPh sb="7" eb="9">
      <t>ジョウゲン</t>
    </rPh>
    <phoneticPr fontId="1"/>
  </si>
  <si>
    <t>-</t>
    <phoneticPr fontId="1"/>
  </si>
  <si>
    <t>"+%主</t>
    <rPh sb="3" eb="4">
      <t>シュ</t>
    </rPh>
    <phoneticPr fontId="1"/>
  </si>
  <si>
    <t>総合戦力</t>
    <rPh sb="0" eb="2">
      <t>ソウゴウ</t>
    </rPh>
    <rPh sb="2" eb="4">
      <t>センリョク</t>
    </rPh>
    <phoneticPr fontId="1"/>
  </si>
  <si>
    <t>武器</t>
    <rPh sb="0" eb="2">
      <t>ブキ</t>
    </rPh>
    <phoneticPr fontId="1"/>
  </si>
  <si>
    <t>HP</t>
    <phoneticPr fontId="1"/>
  </si>
  <si>
    <t>攻撃</t>
    <rPh sb="0" eb="2">
      <t>コウゲキ</t>
    </rPh>
    <phoneticPr fontId="1"/>
  </si>
  <si>
    <t>炎輝槍クレストフラッグ</t>
    <rPh sb="0" eb="1">
      <t>ホノオ</t>
    </rPh>
    <rPh sb="1" eb="2">
      <t>カガヤ</t>
    </rPh>
    <rPh sb="2" eb="3">
      <t>ヤリ</t>
    </rPh>
    <phoneticPr fontId="1"/>
  </si>
  <si>
    <t>真紅槍クリムゾンチェイン</t>
    <rPh sb="0" eb="2">
      <t>シンク</t>
    </rPh>
    <rPh sb="2" eb="3">
      <t>ヤリ</t>
    </rPh>
    <phoneticPr fontId="1"/>
  </si>
  <si>
    <t>千引巨岩槌</t>
    <rPh sb="0" eb="2">
      <t>センビキ</t>
    </rPh>
    <rPh sb="2" eb="4">
      <t>キョガン</t>
    </rPh>
    <rPh sb="4" eb="5">
      <t>ツイ</t>
    </rPh>
    <phoneticPr fontId="1"/>
  </si>
  <si>
    <t>太陽杖ヤタノカガミ</t>
    <rPh sb="0" eb="2">
      <t>タイヨウ</t>
    </rPh>
    <rPh sb="2" eb="3">
      <t>ツエ</t>
    </rPh>
    <phoneticPr fontId="1"/>
  </si>
  <si>
    <t>烈火斧ハルウェウビーク</t>
    <rPh sb="0" eb="2">
      <t>レッカ</t>
    </rPh>
    <rPh sb="2" eb="3">
      <t>オノ</t>
    </rPh>
    <phoneticPr fontId="1"/>
  </si>
  <si>
    <t>ハロエリスアンク</t>
    <phoneticPr fontId="1"/>
  </si>
  <si>
    <t>合計</t>
    <rPh sb="0" eb="2">
      <t>ゴウケイ</t>
    </rPh>
    <phoneticPr fontId="1"/>
  </si>
  <si>
    <t>幻獣</t>
    <rPh sb="0" eb="2">
      <t>ゲンジュウ</t>
    </rPh>
    <phoneticPr fontId="1"/>
  </si>
  <si>
    <t>アドラメレク+99</t>
    <phoneticPr fontId="1"/>
  </si>
  <si>
    <t>ティアマト+99</t>
    <phoneticPr fontId="1"/>
  </si>
  <si>
    <t>イワナガヒメ+99</t>
    <phoneticPr fontId="1"/>
  </si>
  <si>
    <t>黄龍+99</t>
    <rPh sb="0" eb="2">
      <t>コウリュウ</t>
    </rPh>
    <phoneticPr fontId="1"/>
  </si>
  <si>
    <t>ユール・ゴート+99</t>
    <phoneticPr fontId="1"/>
  </si>
  <si>
    <t>バロン+99</t>
    <phoneticPr fontId="1"/>
  </si>
  <si>
    <t>エクシード（上限）</t>
    <rPh sb="6" eb="8">
      <t>ジョウゲン</t>
    </rPh>
    <phoneticPr fontId="1"/>
  </si>
  <si>
    <t>装備・幻獣合計</t>
    <rPh sb="0" eb="2">
      <t>ソウビ</t>
    </rPh>
    <rPh sb="3" eb="5">
      <t>ゲンジュウ</t>
    </rPh>
    <rPh sb="5" eb="7">
      <t>ゴウケイ</t>
    </rPh>
    <phoneticPr fontId="1"/>
  </si>
  <si>
    <t>フェンリル+28</t>
    <phoneticPr fontId="1"/>
  </si>
  <si>
    <t>氷魔剣クレラント</t>
    <rPh sb="0" eb="1">
      <t>コオリ</t>
    </rPh>
    <rPh sb="1" eb="3">
      <t>マケン</t>
    </rPh>
    <phoneticPr fontId="1"/>
  </si>
  <si>
    <t>罪水鎌ギルティスロウス</t>
    <rPh sb="0" eb="1">
      <t>ツミ</t>
    </rPh>
    <rPh sb="1" eb="2">
      <t>ミズ</t>
    </rPh>
    <rPh sb="2" eb="3">
      <t>カマ</t>
    </rPh>
    <phoneticPr fontId="1"/>
  </si>
  <si>
    <t>アプロスビューティー</t>
    <phoneticPr fontId="1"/>
  </si>
  <si>
    <t>咆哮逆鱗丸</t>
    <rPh sb="0" eb="2">
      <t>ホウコウ</t>
    </rPh>
    <rPh sb="2" eb="4">
      <t>ゲキリン</t>
    </rPh>
    <rPh sb="4" eb="5">
      <t>マル</t>
    </rPh>
    <phoneticPr fontId="1"/>
  </si>
  <si>
    <t>天地剣エア</t>
    <rPh sb="0" eb="2">
      <t>テンチ</t>
    </rPh>
    <rPh sb="2" eb="3">
      <t>ケン</t>
    </rPh>
    <phoneticPr fontId="1"/>
  </si>
  <si>
    <t>怠惰弓ヘイルパニッシャー</t>
    <rPh sb="0" eb="2">
      <t>タイダ</t>
    </rPh>
    <rPh sb="2" eb="3">
      <t>ユミ</t>
    </rPh>
    <phoneticPr fontId="1"/>
  </si>
  <si>
    <t>霧氷弓ナハルザナブ</t>
    <rPh sb="0" eb="2">
      <t>ムヒョウ</t>
    </rPh>
    <rPh sb="2" eb="3">
      <t>ユミ</t>
    </rPh>
    <phoneticPr fontId="1"/>
  </si>
  <si>
    <t>海渦槍ヴィシャスタイド</t>
    <rPh sb="0" eb="1">
      <t>ウミ</t>
    </rPh>
    <rPh sb="1" eb="2">
      <t>ウズ</t>
    </rPh>
    <rPh sb="2" eb="3">
      <t>ヤリ</t>
    </rPh>
    <phoneticPr fontId="1"/>
  </si>
  <si>
    <t>壊心槌クランブルエゴ</t>
    <rPh sb="0" eb="1">
      <t>コワ</t>
    </rPh>
    <rPh sb="1" eb="2">
      <t>ココロ</t>
    </rPh>
    <rPh sb="2" eb="3">
      <t>ツチ</t>
    </rPh>
    <phoneticPr fontId="1"/>
  </si>
  <si>
    <t>スレイプニル+1</t>
    <phoneticPr fontId="1"/>
  </si>
  <si>
    <t>風魔剣クレラント</t>
    <rPh sb="0" eb="1">
      <t>カゼ</t>
    </rPh>
    <rPh sb="1" eb="3">
      <t>マケン</t>
    </rPh>
    <phoneticPr fontId="1"/>
  </si>
  <si>
    <t>色欲杖ブレスパニッシャー</t>
    <rPh sb="0" eb="2">
      <t>シキヨク</t>
    </rPh>
    <rPh sb="2" eb="3">
      <t>ツエ</t>
    </rPh>
    <phoneticPr fontId="1"/>
  </si>
  <si>
    <t>獣王刃ポトニアクロス</t>
    <rPh sb="0" eb="2">
      <t>ジュウオウ</t>
    </rPh>
    <rPh sb="2" eb="3">
      <t>ジン</t>
    </rPh>
    <phoneticPr fontId="1"/>
  </si>
  <si>
    <t>華蝶乃大剣</t>
    <rPh sb="0" eb="1">
      <t>ハナ</t>
    </rPh>
    <rPh sb="1" eb="2">
      <t>チョウ</t>
    </rPh>
    <rPh sb="2" eb="3">
      <t>ノ</t>
    </rPh>
    <rPh sb="3" eb="5">
      <t>タイケン</t>
    </rPh>
    <phoneticPr fontId="1"/>
  </si>
  <si>
    <t>神撃核ガイアフォース</t>
    <rPh sb="0" eb="1">
      <t>カミ</t>
    </rPh>
    <rPh sb="1" eb="2">
      <t>ゲキ</t>
    </rPh>
    <rPh sb="2" eb="3">
      <t>カク</t>
    </rPh>
    <phoneticPr fontId="1"/>
  </si>
  <si>
    <t>豊穣笛ウィータ・コルヌ</t>
    <rPh sb="0" eb="2">
      <t>ホウジョウ</t>
    </rPh>
    <rPh sb="2" eb="3">
      <t>フエ</t>
    </rPh>
    <phoneticPr fontId="1"/>
  </si>
  <si>
    <t>幻獣効果</t>
    <rPh sb="0" eb="2">
      <t>ゲンジュウ</t>
    </rPh>
    <rPh sb="2" eb="4">
      <t>コウカ</t>
    </rPh>
    <phoneticPr fontId="1"/>
  </si>
  <si>
    <t>フレンド幻獣</t>
    <rPh sb="4" eb="6">
      <t>ゲンジュウ</t>
    </rPh>
    <phoneticPr fontId="1"/>
  </si>
  <si>
    <t>雷星杖プラネットスター</t>
    <rPh sb="0" eb="1">
      <t>カミナリ</t>
    </rPh>
    <rPh sb="1" eb="2">
      <t>ホシ</t>
    </rPh>
    <rPh sb="2" eb="3">
      <t>ツエ</t>
    </rPh>
    <phoneticPr fontId="1"/>
  </si>
  <si>
    <t>罪雷砲ギルティグラトニー</t>
    <rPh sb="0" eb="1">
      <t>ツミ</t>
    </rPh>
    <rPh sb="1" eb="2">
      <t>カミナリ</t>
    </rPh>
    <rPh sb="2" eb="3">
      <t>ホウ</t>
    </rPh>
    <phoneticPr fontId="1"/>
  </si>
  <si>
    <t>暴食槍ボルトパニッシャー</t>
    <rPh sb="0" eb="2">
      <t>ボウショク</t>
    </rPh>
    <rPh sb="2" eb="3">
      <t>ヤリ</t>
    </rPh>
    <phoneticPr fontId="1"/>
  </si>
  <si>
    <t>浄罰剣イクシード</t>
    <rPh sb="0" eb="1">
      <t>ジョウ</t>
    </rPh>
    <rPh sb="1" eb="2">
      <t>バツ</t>
    </rPh>
    <rPh sb="2" eb="3">
      <t>ケン</t>
    </rPh>
    <phoneticPr fontId="1"/>
  </si>
  <si>
    <t>電電太鼓槌</t>
    <rPh sb="0" eb="2">
      <t>デンデン</t>
    </rPh>
    <rPh sb="2" eb="4">
      <t>ダイコ</t>
    </rPh>
    <rPh sb="4" eb="5">
      <t>ツチ</t>
    </rPh>
    <phoneticPr fontId="1"/>
  </si>
  <si>
    <t>撃雷槍ベルヤグルシュ</t>
    <rPh sb="0" eb="1">
      <t>ゲキ</t>
    </rPh>
    <rPh sb="1" eb="2">
      <t>カミナリ</t>
    </rPh>
    <rPh sb="2" eb="3">
      <t>ヤリ</t>
    </rPh>
    <phoneticPr fontId="1"/>
  </si>
  <si>
    <t>散瞳銃トロンスレイダー</t>
    <rPh sb="0" eb="2">
      <t>サンドウ</t>
    </rPh>
    <rPh sb="2" eb="3">
      <t>ジュウ</t>
    </rPh>
    <phoneticPr fontId="1"/>
  </si>
  <si>
    <t>グルーサムスターナー</t>
    <phoneticPr fontId="1"/>
  </si>
  <si>
    <t>ヘカトンケイル</t>
    <phoneticPr fontId="1"/>
  </si>
  <si>
    <t>聖ニコラウス</t>
    <rPh sb="0" eb="1">
      <t>セイ</t>
    </rPh>
    <phoneticPr fontId="1"/>
  </si>
  <si>
    <t>鳳凰</t>
    <rPh sb="0" eb="2">
      <t>ホウオウ</t>
    </rPh>
    <phoneticPr fontId="1"/>
  </si>
  <si>
    <t>ナンディー</t>
    <phoneticPr fontId="1"/>
  </si>
  <si>
    <t>光魔杖エクシース</t>
    <rPh sb="0" eb="1">
      <t>ヒカリ</t>
    </rPh>
    <rPh sb="1" eb="2">
      <t>マ</t>
    </rPh>
    <rPh sb="2" eb="3">
      <t>ツエ</t>
    </rPh>
    <phoneticPr fontId="1"/>
  </si>
  <si>
    <t>光聖剣エクスカリバー</t>
    <rPh sb="0" eb="1">
      <t>ヒカリ</t>
    </rPh>
    <rPh sb="1" eb="3">
      <t>セイケン</t>
    </rPh>
    <phoneticPr fontId="1"/>
  </si>
  <si>
    <t>鳳凰ノ光弓+99</t>
    <rPh sb="0" eb="2">
      <t>ホウオウ</t>
    </rPh>
    <rPh sb="3" eb="4">
      <t>ヒカリ</t>
    </rPh>
    <rPh sb="4" eb="5">
      <t>ユミ</t>
    </rPh>
    <phoneticPr fontId="1"/>
  </si>
  <si>
    <t>罪光杖ギルティプライド+99</t>
    <rPh sb="0" eb="1">
      <t>ツミ</t>
    </rPh>
    <rPh sb="1" eb="2">
      <t>ヒカリ</t>
    </rPh>
    <rPh sb="2" eb="3">
      <t>ツエ</t>
    </rPh>
    <phoneticPr fontId="1"/>
  </si>
  <si>
    <t>聖輝砲ガルンガン</t>
    <rPh sb="0" eb="1">
      <t>セイ</t>
    </rPh>
    <rPh sb="1" eb="2">
      <t>カガヤ</t>
    </rPh>
    <rPh sb="2" eb="3">
      <t>ホウ</t>
    </rPh>
    <phoneticPr fontId="1"/>
  </si>
  <si>
    <t>聖牙刃アンクコブラ</t>
    <rPh sb="0" eb="1">
      <t>セイ</t>
    </rPh>
    <rPh sb="1" eb="2">
      <t>キバ</t>
    </rPh>
    <rPh sb="2" eb="3">
      <t>ハ</t>
    </rPh>
    <phoneticPr fontId="1"/>
  </si>
  <si>
    <t>月輝砲カリストルバリスタ</t>
    <rPh sb="0" eb="1">
      <t>ツキ</t>
    </rPh>
    <rPh sb="1" eb="2">
      <t>カガヤ</t>
    </rPh>
    <rPh sb="2" eb="3">
      <t>ホウ</t>
    </rPh>
    <phoneticPr fontId="1"/>
  </si>
  <si>
    <t>金色翼聖槌</t>
    <rPh sb="0" eb="1">
      <t>カネ</t>
    </rPh>
    <rPh sb="1" eb="2">
      <t>イロ</t>
    </rPh>
    <rPh sb="2" eb="3">
      <t>ツバサ</t>
    </rPh>
    <rPh sb="3" eb="4">
      <t>セイ</t>
    </rPh>
    <rPh sb="4" eb="5">
      <t>ツチ</t>
    </rPh>
    <phoneticPr fontId="1"/>
  </si>
  <si>
    <t>傲慢斧ルミナパニッシャー</t>
    <rPh sb="0" eb="2">
      <t>ゴウマン</t>
    </rPh>
    <rPh sb="2" eb="3">
      <t>オノ</t>
    </rPh>
    <phoneticPr fontId="1"/>
  </si>
  <si>
    <t>救伐斧クロッグフェイラー</t>
    <rPh sb="0" eb="1">
      <t>スク</t>
    </rPh>
    <rPh sb="1" eb="2">
      <t>キ</t>
    </rPh>
    <rPh sb="2" eb="3">
      <t>オノ</t>
    </rPh>
    <phoneticPr fontId="1"/>
  </si>
  <si>
    <t>ソードオブヴィクトリー</t>
    <phoneticPr fontId="1"/>
  </si>
  <si>
    <t>アザトース</t>
    <phoneticPr fontId="1"/>
  </si>
  <si>
    <t>トリウィア+3</t>
    <phoneticPr fontId="1"/>
  </si>
  <si>
    <t>アポカリプス</t>
    <phoneticPr fontId="1"/>
  </si>
  <si>
    <t>ジャック・オー・ランタン</t>
    <phoneticPr fontId="1"/>
  </si>
  <si>
    <t>デュラハン</t>
    <phoneticPr fontId="1"/>
  </si>
  <si>
    <t>アンフィスバエナ</t>
    <phoneticPr fontId="1"/>
  </si>
  <si>
    <t>闇聖剣エクスカリバー</t>
    <rPh sb="0" eb="1">
      <t>ヤミ</t>
    </rPh>
    <rPh sb="1" eb="3">
      <t>セイケン</t>
    </rPh>
    <phoneticPr fontId="1"/>
  </si>
  <si>
    <t>嫉妬槌レブルパニッシャー</t>
    <rPh sb="0" eb="2">
      <t>シット</t>
    </rPh>
    <rPh sb="2" eb="3">
      <t>ツイ</t>
    </rPh>
    <phoneticPr fontId="1"/>
  </si>
  <si>
    <t>嫉妬槌レブルパニッシャー+99</t>
    <rPh sb="0" eb="2">
      <t>シット</t>
    </rPh>
    <rPh sb="2" eb="3">
      <t>ツイ</t>
    </rPh>
    <phoneticPr fontId="1"/>
  </si>
  <si>
    <t>罪闇斧ギルティエンヴィー</t>
    <rPh sb="0" eb="1">
      <t>ツミ</t>
    </rPh>
    <rPh sb="1" eb="2">
      <t>ヤミ</t>
    </rPh>
    <rPh sb="2" eb="3">
      <t>オノ</t>
    </rPh>
    <phoneticPr fontId="1"/>
  </si>
  <si>
    <t>ハルマゲドンランス</t>
    <phoneticPr fontId="1"/>
  </si>
  <si>
    <t>冥王杖ヘカ</t>
    <rPh sb="0" eb="2">
      <t>メイオウ</t>
    </rPh>
    <rPh sb="2" eb="3">
      <t>ツエ</t>
    </rPh>
    <phoneticPr fontId="1"/>
  </si>
  <si>
    <t>死鎌銃ネクロジョーカー</t>
    <rPh sb="0" eb="1">
      <t>シ</t>
    </rPh>
    <rPh sb="1" eb="2">
      <t>カマ</t>
    </rPh>
    <rPh sb="2" eb="3">
      <t>ジュウ</t>
    </rPh>
    <phoneticPr fontId="1"/>
  </si>
  <si>
    <t>冥月弓キュンティア</t>
    <rPh sb="0" eb="1">
      <t>メイ</t>
    </rPh>
    <rPh sb="1" eb="2">
      <t>ツキ</t>
    </rPh>
    <rPh sb="2" eb="3">
      <t>ユミ</t>
    </rPh>
    <phoneticPr fontId="1"/>
  </si>
  <si>
    <t>華蝶乃弓</t>
    <rPh sb="0" eb="1">
      <t>ハナ</t>
    </rPh>
    <rPh sb="1" eb="2">
      <t>チョウ</t>
    </rPh>
    <rPh sb="2" eb="3">
      <t>ノ</t>
    </rPh>
    <rPh sb="3" eb="4">
      <t>ユミ</t>
    </rPh>
    <phoneticPr fontId="1"/>
  </si>
  <si>
    <t>各属性比較</t>
    <rPh sb="0" eb="3">
      <t>カクゾクセイ</t>
    </rPh>
    <rPh sb="3" eb="5">
      <t>ヒカク</t>
    </rPh>
    <phoneticPr fontId="1"/>
  </si>
  <si>
    <t>エクシード</t>
    <phoneticPr fontId="1"/>
  </si>
  <si>
    <t>アセンション</t>
    <phoneticPr fontId="1"/>
  </si>
  <si>
    <t>武器攻撃力</t>
    <rPh sb="0" eb="2">
      <t>ブキ</t>
    </rPh>
    <rPh sb="2" eb="5">
      <t>コウゲキリョク</t>
    </rPh>
    <phoneticPr fontId="1"/>
  </si>
  <si>
    <t>武器HP</t>
    <rPh sb="0" eb="2">
      <t>ブキ</t>
    </rPh>
    <phoneticPr fontId="1"/>
  </si>
  <si>
    <t>幻獣HP</t>
    <rPh sb="0" eb="2">
      <t>ゲンジュウ</t>
    </rPh>
    <phoneticPr fontId="1"/>
  </si>
  <si>
    <t>幻獣攻撃力</t>
    <rPh sb="0" eb="2">
      <t>ゲンジュウ</t>
    </rPh>
    <rPh sb="2" eb="5">
      <t>コウゲキリョク</t>
    </rPh>
    <phoneticPr fontId="1"/>
  </si>
  <si>
    <t>最終攻撃力</t>
    <rPh sb="0" eb="2">
      <t>サイシュウ</t>
    </rPh>
    <rPh sb="2" eb="5">
      <t>コウゲキリョク</t>
    </rPh>
    <phoneticPr fontId="1"/>
  </si>
  <si>
    <t>最終HP</t>
    <rPh sb="0" eb="2">
      <t>サイシュウ</t>
    </rPh>
    <phoneticPr fontId="1"/>
  </si>
  <si>
    <t>基本攻撃力</t>
    <rPh sb="0" eb="2">
      <t>キホン</t>
    </rPh>
    <rPh sb="2" eb="5">
      <t>コウゲキリョク</t>
    </rPh>
    <phoneticPr fontId="1"/>
  </si>
  <si>
    <t>基本HP</t>
    <rPh sb="0" eb="2">
      <t>キホン</t>
    </rPh>
    <phoneticPr fontId="1"/>
  </si>
  <si>
    <t>神炎銃ディバインバスター</t>
    <rPh sb="0" eb="1">
      <t>カミ</t>
    </rPh>
    <rPh sb="1" eb="2">
      <t>ホノオ</t>
    </rPh>
    <rPh sb="2" eb="3">
      <t>ジュウ</t>
    </rPh>
    <phoneticPr fontId="1"/>
  </si>
  <si>
    <t>フェアリープレリュード</t>
    <phoneticPr fontId="1"/>
  </si>
  <si>
    <t>狂毒弓ヴァーンズイン</t>
    <rPh sb="0" eb="1">
      <t>クル</t>
    </rPh>
    <rPh sb="1" eb="2">
      <t>ドク</t>
    </rPh>
    <rPh sb="2" eb="3">
      <t>ユミ</t>
    </rPh>
    <phoneticPr fontId="1"/>
  </si>
  <si>
    <t>イフリート</t>
    <phoneticPr fontId="1"/>
  </si>
  <si>
    <t>海竜刃ラハブナイフ+99</t>
    <rPh sb="0" eb="1">
      <t>ウミ</t>
    </rPh>
    <rPh sb="1" eb="2">
      <t>リュウ</t>
    </rPh>
    <rPh sb="2" eb="3">
      <t>ハ</t>
    </rPh>
    <phoneticPr fontId="1"/>
  </si>
  <si>
    <t>水魔剣ヴェーダ</t>
    <rPh sb="0" eb="1">
      <t>ミズ</t>
    </rPh>
    <rPh sb="1" eb="3">
      <t>マケン</t>
    </rPh>
    <phoneticPr fontId="1"/>
  </si>
  <si>
    <t>バロン+99</t>
  </si>
  <si>
    <t>フルーレティ</t>
    <phoneticPr fontId="1"/>
  </si>
  <si>
    <t>巨滅槍テュポーエウス+99</t>
    <rPh sb="0" eb="1">
      <t>キョ</t>
    </rPh>
    <rPh sb="1" eb="2">
      <t>メツ</t>
    </rPh>
    <rPh sb="2" eb="3">
      <t>ヤリ</t>
    </rPh>
    <phoneticPr fontId="1"/>
  </si>
  <si>
    <t>ファフニール45</t>
    <phoneticPr fontId="1"/>
  </si>
  <si>
    <t>罪風剣ギルティラスト+99</t>
    <rPh sb="0" eb="1">
      <t>ツミ</t>
    </rPh>
    <rPh sb="1" eb="2">
      <t>カゼ</t>
    </rPh>
    <rPh sb="2" eb="3">
      <t>ケン</t>
    </rPh>
    <phoneticPr fontId="1"/>
  </si>
  <si>
    <t>劫火銃アウリカルクム</t>
    <phoneticPr fontId="1"/>
  </si>
  <si>
    <t>旋嵐具アウリカルクム</t>
    <phoneticPr fontId="1"/>
  </si>
  <si>
    <t>ピュトーン</t>
    <phoneticPr fontId="1"/>
  </si>
  <si>
    <t>ヴィゴラス
（HP75％時）</t>
    <rPh sb="12" eb="13">
      <t>ジ</t>
    </rPh>
    <phoneticPr fontId="1"/>
  </si>
  <si>
    <t>ヴィゴラス（75%時）</t>
    <rPh sb="9" eb="10">
      <t>ジ</t>
    </rPh>
    <phoneticPr fontId="1"/>
  </si>
  <si>
    <t>亡竜杖オンファロス</t>
    <rPh sb="0" eb="1">
      <t>ナ</t>
    </rPh>
    <rPh sb="1" eb="2">
      <t>リュウ</t>
    </rPh>
    <rPh sb="2" eb="3">
      <t>ツエ</t>
    </rPh>
    <phoneticPr fontId="1"/>
  </si>
  <si>
    <t>ヴィゴラス（HP75%）</t>
    <phoneticPr fontId="1"/>
  </si>
  <si>
    <t>英</t>
    <rPh sb="0" eb="1">
      <t>エイ</t>
    </rPh>
    <phoneticPr fontId="1"/>
  </si>
  <si>
    <t>武器（控え）</t>
    <rPh sb="0" eb="2">
      <t>ブキ</t>
    </rPh>
    <rPh sb="3" eb="4">
      <t>ヒカ</t>
    </rPh>
    <phoneticPr fontId="1"/>
  </si>
  <si>
    <t>幻獣（控え）</t>
    <rPh sb="0" eb="2">
      <t>ゲンジュウ</t>
    </rPh>
    <phoneticPr fontId="1"/>
  </si>
  <si>
    <t>憤怒剣バーンパニッシャー+97</t>
    <rPh sb="0" eb="2">
      <t>フンヌ</t>
    </rPh>
    <rPh sb="2" eb="3">
      <t>ケン</t>
    </rPh>
    <phoneticPr fontId="1"/>
  </si>
  <si>
    <t>罪炎弓ギルティラース+11</t>
    <rPh sb="0" eb="1">
      <t>ツミ</t>
    </rPh>
    <rPh sb="1" eb="2">
      <t>ホノオ</t>
    </rPh>
    <rPh sb="2" eb="3">
      <t>ユミ</t>
    </rPh>
    <phoneticPr fontId="1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</si>
</sst>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#,##0_ "/>
    <numFmt numFmtId="178" formatCode="0.0%"/>
    <numFmt numFmtId="179" formatCode="0.00_ "/>
    <numFmt numFmtId="180" formatCode="0.00_);[Red]\(0.00\)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22" xfId="0" applyFill="1" applyBorder="1" applyAlignment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" xfId="0" applyNumberFormat="1" applyBorder="1">
      <alignment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26" xfId="0" applyNumberFormat="1" applyBorder="1">
      <alignment vertical="center"/>
    </xf>
    <xf numFmtId="178" fontId="0" fillId="0" borderId="19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7" fontId="2" fillId="0" borderId="0" xfId="0" applyNumberFormat="1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178" fontId="0" fillId="0" borderId="35" xfId="0" applyNumberForma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0" fontId="0" fillId="0" borderId="40" xfId="0" applyNumberFormat="1" applyBorder="1">
      <alignment vertical="center"/>
    </xf>
    <xf numFmtId="10" fontId="0" fillId="0" borderId="6" xfId="0" applyNumberFormat="1" applyBorder="1">
      <alignment vertical="center"/>
    </xf>
    <xf numFmtId="10" fontId="0" fillId="0" borderId="8" xfId="0" applyNumberForma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horizontal="right" vertical="center"/>
    </xf>
    <xf numFmtId="9" fontId="0" fillId="2" borderId="1" xfId="0" applyNumberFormat="1" applyFill="1" applyBorder="1">
      <alignment vertical="center"/>
    </xf>
    <xf numFmtId="0" fontId="0" fillId="2" borderId="2" xfId="0" applyFill="1" applyBorder="1" applyAlignment="1">
      <alignment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1" xfId="0" applyNumberFormat="1" applyFill="1" applyBorder="1">
      <alignment vertical="center"/>
    </xf>
    <xf numFmtId="177" fontId="2" fillId="0" borderId="20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</cellXfs>
  <cellStyles count="1">
    <cellStyle name="標準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workbookViewId="0">
      <selection activeCell="J24" sqref="J24"/>
    </sheetView>
  </sheetViews>
  <sheetFormatPr defaultRowHeight="13.2"/>
  <cols>
    <col min="1" max="1" width="16.77734375" customWidth="1"/>
    <col min="2" max="2" width="6.77734375" style="1" customWidth="1"/>
    <col min="3" max="3" width="5.77734375" style="1" customWidth="1"/>
    <col min="4" max="4" width="6.77734375" style="1" customWidth="1"/>
    <col min="5" max="6" width="5.77734375" style="1" customWidth="1"/>
    <col min="7" max="17" width="3.77734375" customWidth="1"/>
    <col min="18" max="18" width="2.77734375" customWidth="1"/>
    <col min="19" max="19" width="24" bestFit="1" customWidth="1"/>
    <col min="20" max="20" width="6.5546875" bestFit="1" customWidth="1"/>
    <col min="21" max="21" width="7.5546875" bestFit="1" customWidth="1"/>
    <col min="22" max="22" width="2.77734375" customWidth="1"/>
    <col min="23" max="23" width="24.88671875" bestFit="1" customWidth="1"/>
    <col min="24" max="24" width="6.5546875" bestFit="1" customWidth="1"/>
    <col min="25" max="25" width="7.5546875" bestFit="1" customWidth="1"/>
    <col min="26" max="37" width="5.77734375" customWidth="1"/>
  </cols>
  <sheetData>
    <row r="1" spans="1:25" ht="13.8" thickBot="1">
      <c r="A1" t="s">
        <v>20</v>
      </c>
      <c r="B1" s="16">
        <v>53762</v>
      </c>
      <c r="S1" s="17" t="s">
        <v>21</v>
      </c>
      <c r="T1" s="3" t="s">
        <v>22</v>
      </c>
      <c r="U1" s="3" t="s">
        <v>23</v>
      </c>
      <c r="W1" s="17" t="s">
        <v>127</v>
      </c>
      <c r="X1" s="3" t="s">
        <v>22</v>
      </c>
      <c r="Y1" s="3" t="s">
        <v>23</v>
      </c>
    </row>
    <row r="2" spans="1:25" s="1" customFormat="1" ht="13.8" thickBot="1">
      <c r="A2" s="5" t="s">
        <v>0</v>
      </c>
      <c r="B2" s="5" t="s">
        <v>13</v>
      </c>
      <c r="C2" s="5" t="s">
        <v>14</v>
      </c>
      <c r="D2" s="5" t="s">
        <v>19</v>
      </c>
      <c r="E2" s="5" t="s">
        <v>16</v>
      </c>
      <c r="F2" s="61" t="s">
        <v>15</v>
      </c>
      <c r="G2" s="66" t="s">
        <v>126</v>
      </c>
      <c r="H2" s="6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  <c r="O2" s="5">
        <v>8</v>
      </c>
      <c r="P2" s="5">
        <v>9</v>
      </c>
      <c r="Q2" s="5">
        <v>10</v>
      </c>
      <c r="S2" s="78" t="s">
        <v>24</v>
      </c>
      <c r="T2" s="79">
        <v>217</v>
      </c>
      <c r="U2" s="79">
        <v>2079</v>
      </c>
      <c r="W2" s="78" t="s">
        <v>108</v>
      </c>
      <c r="X2" s="79">
        <v>65</v>
      </c>
      <c r="Y2" s="79">
        <v>1300</v>
      </c>
    </row>
    <row r="3" spans="1:25">
      <c r="A3" s="97" t="s">
        <v>1</v>
      </c>
      <c r="B3" s="10" t="s">
        <v>2</v>
      </c>
      <c r="C3" s="90">
        <f>SUM(E3:E5)+SUM(E12:E14)+D3</f>
        <v>106</v>
      </c>
      <c r="D3" s="90">
        <f>IF(G3="",0,11+(G3-1)*1)</f>
        <v>0</v>
      </c>
      <c r="E3" s="11">
        <f>(6.5*F3)+(H3+I3+J3+K3+L3+M3+N3+O3+P3+Q3-F3)*0.5</f>
        <v>57.5</v>
      </c>
      <c r="F3" s="62">
        <f t="shared" ref="F3:F20" si="0">COUNT(H3:Q3)</f>
        <v>3</v>
      </c>
      <c r="G3" s="91"/>
      <c r="H3" s="67">
        <v>30</v>
      </c>
      <c r="I3" s="68">
        <v>29</v>
      </c>
      <c r="J3" s="68"/>
      <c r="K3" s="68">
        <v>20</v>
      </c>
      <c r="L3" s="68"/>
      <c r="M3" s="68"/>
      <c r="N3" s="68"/>
      <c r="O3" s="68"/>
      <c r="P3" s="68"/>
      <c r="Q3" s="69"/>
      <c r="S3" s="78" t="s">
        <v>116</v>
      </c>
      <c r="T3" s="79">
        <v>271</v>
      </c>
      <c r="U3" s="79">
        <v>2633</v>
      </c>
      <c r="W3" s="78" t="s">
        <v>119</v>
      </c>
      <c r="X3" s="79">
        <v>90</v>
      </c>
      <c r="Y3" s="79">
        <v>1800</v>
      </c>
    </row>
    <row r="4" spans="1:25">
      <c r="A4" s="95"/>
      <c r="B4" s="2" t="s">
        <v>3</v>
      </c>
      <c r="C4" s="86"/>
      <c r="D4" s="88"/>
      <c r="E4" s="7">
        <f>(3.5*F4)+(H4+I4+J4+K4+L4+M4+N4+O4+P4+Q4-F4)*0.5</f>
        <v>38.5</v>
      </c>
      <c r="F4" s="63">
        <f t="shared" si="0"/>
        <v>4</v>
      </c>
      <c r="G4" s="92"/>
      <c r="H4" s="70"/>
      <c r="I4" s="71"/>
      <c r="J4" s="71"/>
      <c r="K4" s="71"/>
      <c r="L4" s="71">
        <v>15</v>
      </c>
      <c r="M4" s="71">
        <v>15</v>
      </c>
      <c r="N4" s="71"/>
      <c r="O4" s="71">
        <v>12</v>
      </c>
      <c r="P4" s="71">
        <v>11</v>
      </c>
      <c r="Q4" s="72"/>
      <c r="S4" s="78" t="s">
        <v>129</v>
      </c>
      <c r="T4" s="79">
        <v>196</v>
      </c>
      <c r="U4" s="79">
        <v>2931</v>
      </c>
      <c r="W4" s="78"/>
      <c r="X4" s="79"/>
      <c r="Y4" s="79"/>
    </row>
    <row r="5" spans="1:25" ht="13.8" thickBot="1">
      <c r="A5" s="96"/>
      <c r="B5" s="12" t="s">
        <v>4</v>
      </c>
      <c r="C5" s="87"/>
      <c r="D5" s="89"/>
      <c r="E5" s="13">
        <f>(0.5*F5)+(H5+I5+J5+K5+L5+M5+N5+O5+P5+Q5-F5)*0.5</f>
        <v>0</v>
      </c>
      <c r="F5" s="64">
        <f t="shared" si="0"/>
        <v>0</v>
      </c>
      <c r="G5" s="93"/>
      <c r="H5" s="73"/>
      <c r="I5" s="74"/>
      <c r="J5" s="74"/>
      <c r="K5" s="74"/>
      <c r="L5" s="74"/>
      <c r="M5" s="74"/>
      <c r="N5" s="74"/>
      <c r="O5" s="74"/>
      <c r="P5" s="74"/>
      <c r="Q5" s="75"/>
      <c r="S5" s="78" t="s">
        <v>130</v>
      </c>
      <c r="T5" s="79">
        <v>163</v>
      </c>
      <c r="U5" s="79">
        <v>2290</v>
      </c>
      <c r="W5" s="78"/>
      <c r="X5" s="79"/>
      <c r="Y5" s="79"/>
    </row>
    <row r="6" spans="1:25">
      <c r="A6" s="97" t="s">
        <v>5</v>
      </c>
      <c r="B6" s="10" t="s">
        <v>2</v>
      </c>
      <c r="C6" s="90">
        <f>SUM(E6:E8)+D6</f>
        <v>89</v>
      </c>
      <c r="D6" s="90">
        <f>IF(G6="",0,11+(G6-1)*1)</f>
        <v>30</v>
      </c>
      <c r="E6" s="11">
        <f>(6.5*F6)+(H6+I6+J6+K6+L6+M6+N6+O6+P6+Q6-F6)*0.5</f>
        <v>13.5</v>
      </c>
      <c r="F6" s="62">
        <f t="shared" si="0"/>
        <v>1</v>
      </c>
      <c r="G6" s="91">
        <v>20</v>
      </c>
      <c r="H6" s="67"/>
      <c r="I6" s="68"/>
      <c r="J6" s="68"/>
      <c r="K6" s="68"/>
      <c r="L6" s="68"/>
      <c r="M6" s="68"/>
      <c r="N6" s="68">
        <v>15</v>
      </c>
      <c r="O6" s="68"/>
      <c r="P6" s="68"/>
      <c r="Q6" s="69"/>
      <c r="S6" s="78" t="s">
        <v>25</v>
      </c>
      <c r="T6" s="79">
        <v>103</v>
      </c>
      <c r="U6" s="79">
        <v>1681</v>
      </c>
      <c r="W6" s="78"/>
      <c r="X6" s="79"/>
      <c r="Y6" s="79"/>
    </row>
    <row r="7" spans="1:25">
      <c r="A7" s="95"/>
      <c r="B7" s="2" t="s">
        <v>3</v>
      </c>
      <c r="C7" s="86"/>
      <c r="D7" s="88"/>
      <c r="E7" s="7">
        <f>(3.5*F7)+(H7+I7+J7+K7+L7+M7+N7+O7+P7+Q7-F7)*0.5</f>
        <v>0</v>
      </c>
      <c r="F7" s="63">
        <f t="shared" si="0"/>
        <v>0</v>
      </c>
      <c r="G7" s="92"/>
      <c r="H7" s="70"/>
      <c r="I7" s="71"/>
      <c r="J7" s="71"/>
      <c r="K7" s="71"/>
      <c r="L7" s="71"/>
      <c r="M7" s="71"/>
      <c r="N7" s="71"/>
      <c r="O7" s="71"/>
      <c r="P7" s="71"/>
      <c r="Q7" s="72"/>
      <c r="S7" s="78" t="s">
        <v>26</v>
      </c>
      <c r="T7" s="79">
        <v>114</v>
      </c>
      <c r="U7" s="79">
        <v>2262</v>
      </c>
      <c r="W7" s="78"/>
      <c r="X7" s="79"/>
      <c r="Y7" s="79"/>
    </row>
    <row r="8" spans="1:25" ht="13.8" thickBot="1">
      <c r="A8" s="96"/>
      <c r="B8" s="12" t="s">
        <v>4</v>
      </c>
      <c r="C8" s="87"/>
      <c r="D8" s="89"/>
      <c r="E8" s="13">
        <f>(0.5*F8)+(H8+I8+J8+K8+L8+M8+N8+O8+P8+Q8-F8)*0.5</f>
        <v>45.5</v>
      </c>
      <c r="F8" s="64">
        <f t="shared" si="0"/>
        <v>5</v>
      </c>
      <c r="G8" s="93"/>
      <c r="H8" s="73">
        <v>30</v>
      </c>
      <c r="I8" s="74"/>
      <c r="J8" s="74"/>
      <c r="K8" s="74">
        <v>20</v>
      </c>
      <c r="L8" s="74">
        <v>15</v>
      </c>
      <c r="M8" s="74">
        <v>15</v>
      </c>
      <c r="N8" s="74"/>
      <c r="O8" s="74"/>
      <c r="P8" s="74">
        <v>11</v>
      </c>
      <c r="Q8" s="75"/>
      <c r="S8" s="78" t="s">
        <v>26</v>
      </c>
      <c r="T8" s="79">
        <v>114</v>
      </c>
      <c r="U8" s="79">
        <v>2262</v>
      </c>
      <c r="W8" s="78"/>
      <c r="X8" s="79"/>
      <c r="Y8" s="79"/>
    </row>
    <row r="9" spans="1:25">
      <c r="A9" s="98" t="s">
        <v>122</v>
      </c>
      <c r="B9" s="6" t="s">
        <v>2</v>
      </c>
      <c r="C9" s="99">
        <f>SUM(E9:E11)</f>
        <v>0</v>
      </c>
      <c r="D9" s="88" t="s">
        <v>18</v>
      </c>
      <c r="E9" s="48">
        <f>IF(H9="",0,(16+H9*0.2)^0.75-(16+H9*0.2)^0.5)+IF(I9="",0,(16+I9*0.2)^0.75-(16+I9*0.2)^0.5)+IF(J9="",0,(16+J9*0.2)^0.75-(16+J9*0.2)^0.5)+IF(K9="",0,(16+K9*0.2)^0.75-(16+K9*0.2)^0.5)+IF(L9="",0,(16+L9*0.2)^0.75-(16+L9*0.2)^0.5)+IF(M9="",0,(16+M9*0.2)^0.75-(16+M9*0.2)^0.5)+IF(N9="",0,(16+N9*0.2)^0.75-(16+N9*0.2)^0.5)+IF(O9="",0,(16+O9*0.2)^0.75-(16+O9*0.2)^0.5)+IF(P9="",0,(16+P9*0.2)^0.75-(16+P9*0.2)^0.5)+IF(Q9="",0,(16+Q9*0.2)^0.75-(16+Q9*0.2)^0.5)</f>
        <v>0</v>
      </c>
      <c r="F9" s="6">
        <f t="shared" si="0"/>
        <v>0</v>
      </c>
      <c r="G9" s="86"/>
      <c r="H9" s="76"/>
      <c r="I9" s="76"/>
      <c r="J9" s="76"/>
      <c r="K9" s="76"/>
      <c r="L9" s="76"/>
      <c r="M9" s="76"/>
      <c r="N9" s="76"/>
      <c r="O9" s="76"/>
      <c r="P9" s="76"/>
      <c r="Q9" s="77"/>
      <c r="S9" s="78" t="s">
        <v>28</v>
      </c>
      <c r="T9" s="79">
        <v>130</v>
      </c>
      <c r="U9" s="79">
        <v>2208</v>
      </c>
      <c r="W9" s="78"/>
      <c r="X9" s="79"/>
      <c r="Y9" s="79"/>
    </row>
    <row r="10" spans="1:25">
      <c r="A10" s="95"/>
      <c r="B10" s="3" t="s">
        <v>3</v>
      </c>
      <c r="C10" s="99"/>
      <c r="D10" s="88"/>
      <c r="E10" s="50">
        <f>IF(H10="",0,(12+H10*0.2)^0.75-(12+H10*0.2)^0.5)+IF(I10="",0,(12+I10*0.2)^0.75-(12+I10*0.2)^0.5)+IF(J10="",0,(12+J10*0.2)^0.75-(12+J10*0.2)^0.5)+IF(K10="",0,(12+K10*0.2)^0.75-(12+K10*0.2)^0.5)+IF(L10="",0,(12+L10*0.2)^0.75-(12+L10*0.2)^0.5)+IF(M10="",0,(12+M10*0.2)^0.75-(12+M10*0.2)^0.5)+IF(N10="",0,(12+N10*0.2)^0.75-(12+N10*0.2)^0.5)+IF(O10="",0,(12+O10*0.2)^0.75-(12+O10*0.2)^0.5)+IF(P10="",0,(12+P10*0.2)^0.75-(12+P10*0.2)^0.5)+IF(Q10="",0,(12+Q10*0.2)^0.75-(12+Q10*0.2)^0.5)</f>
        <v>0</v>
      </c>
      <c r="F10" s="3">
        <f t="shared" si="0"/>
        <v>0</v>
      </c>
      <c r="G10" s="86"/>
      <c r="H10" s="71"/>
      <c r="I10" s="71"/>
      <c r="J10" s="71"/>
      <c r="K10" s="71"/>
      <c r="L10" s="71"/>
      <c r="M10" s="71"/>
      <c r="N10" s="71"/>
      <c r="O10" s="71"/>
      <c r="P10" s="71"/>
      <c r="Q10" s="72"/>
      <c r="S10" s="78" t="s">
        <v>29</v>
      </c>
      <c r="T10" s="79">
        <v>156</v>
      </c>
      <c r="U10" s="79">
        <v>2106</v>
      </c>
      <c r="W10" s="78"/>
      <c r="X10" s="79"/>
      <c r="Y10" s="79"/>
    </row>
    <row r="11" spans="1:25" ht="13.8" thickBot="1">
      <c r="A11" s="96"/>
      <c r="B11" s="12" t="s">
        <v>4</v>
      </c>
      <c r="C11" s="100"/>
      <c r="D11" s="89"/>
      <c r="E11" s="49">
        <f>IF(H11="",0,(8+H11*0.2)^0.75-(8+H11*0.2)^0.5)+IF(I11="",0,(8+I11*0.2)^0.75-(8+I11*0.2)^0.5)+IF(J11="",0,(8+J11*0.2)^0.75-(8+J11*0.2)^0.5)+IF(K11="",0,(8+K11*0.2)^0.75-(8+K11*0.2)^0.5)+IF(L11="",0,(8+L11*0.2)^0.75-(8+L11*0.2)^0.5)+IF(M11="",0,(8+M11*0.2)^0.75-(8+M11*0.2)^0.5)+IF(N11="",0,(8+N11*0.2)^0.75-(8+N11*0.2)^0.5)+IF(O11="",0,(8+O11*0.2)^0.75-(8+O11*0.2)^0.5)+IF(P11="",0,(8+P11*0.2)^0.75-(8+P11*0.2)^0.5)+IF(Q11="",0,(8+Q11*0.2)^0.75-(8+Q11*0.2)^0.5)</f>
        <v>0</v>
      </c>
      <c r="F11" s="12">
        <f t="shared" si="0"/>
        <v>0</v>
      </c>
      <c r="G11" s="87"/>
      <c r="H11" s="74"/>
      <c r="I11" s="74"/>
      <c r="J11" s="74"/>
      <c r="K11" s="74"/>
      <c r="L11" s="74"/>
      <c r="M11" s="74"/>
      <c r="N11" s="74"/>
      <c r="O11" s="74"/>
      <c r="P11" s="74"/>
      <c r="Q11" s="75"/>
      <c r="S11" s="78" t="s">
        <v>27</v>
      </c>
      <c r="T11" s="79">
        <v>147</v>
      </c>
      <c r="U11" s="79">
        <v>1462</v>
      </c>
      <c r="W11" s="78"/>
      <c r="X11" s="79"/>
      <c r="Y11" s="79"/>
    </row>
    <row r="12" spans="1:25" ht="13.8" thickBot="1">
      <c r="A12" s="94" t="s">
        <v>6</v>
      </c>
      <c r="B12" s="6" t="s">
        <v>2</v>
      </c>
      <c r="C12" s="88" t="s">
        <v>18</v>
      </c>
      <c r="D12" s="88" t="s">
        <v>18</v>
      </c>
      <c r="E12" s="9">
        <f>(0.5*F12)+(H12+I12+J12+K12+L12+M12+N12+O12+P12+Q12-F12)*0.5</f>
        <v>10</v>
      </c>
      <c r="F12" s="6">
        <f t="shared" si="0"/>
        <v>1</v>
      </c>
      <c r="G12" s="86"/>
      <c r="H12" s="76"/>
      <c r="I12" s="76"/>
      <c r="J12" s="76">
        <v>20</v>
      </c>
      <c r="K12" s="76"/>
      <c r="L12" s="76"/>
      <c r="M12" s="76"/>
      <c r="N12" s="76"/>
      <c r="O12" s="76"/>
      <c r="P12" s="76"/>
      <c r="Q12" s="77"/>
      <c r="S12" s="19" t="s">
        <v>30</v>
      </c>
      <c r="T12" s="20">
        <f>SUM(T2:T11)</f>
        <v>1611</v>
      </c>
      <c r="U12" s="21">
        <f>SUM(U2:U11)</f>
        <v>21914</v>
      </c>
      <c r="W12" s="78"/>
      <c r="X12" s="83"/>
      <c r="Y12" s="83"/>
    </row>
    <row r="13" spans="1:25">
      <c r="A13" s="95"/>
      <c r="B13" s="2" t="s">
        <v>3</v>
      </c>
      <c r="C13" s="86"/>
      <c r="D13" s="88"/>
      <c r="E13" s="7">
        <f>(0.5*F13)+(H13+I13+J13+K13+L13+M13+N13+O13+P13+Q13-F13)*0.5</f>
        <v>0</v>
      </c>
      <c r="F13" s="2">
        <f t="shared" si="0"/>
        <v>0</v>
      </c>
      <c r="G13" s="86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1:25" ht="13.8" thickBot="1">
      <c r="A14" s="96"/>
      <c r="B14" s="12" t="s">
        <v>4</v>
      </c>
      <c r="C14" s="87"/>
      <c r="D14" s="89"/>
      <c r="E14" s="13">
        <f>(0.35*F14)+(H14+I14+J14+K14+L14+M14+N14+O14+P14+Q14-F14)*0.35</f>
        <v>0</v>
      </c>
      <c r="F14" s="12">
        <f t="shared" si="0"/>
        <v>0</v>
      </c>
      <c r="G14" s="87"/>
      <c r="H14" s="74"/>
      <c r="I14" s="74"/>
      <c r="J14" s="74"/>
      <c r="K14" s="74"/>
      <c r="L14" s="74"/>
      <c r="M14" s="74"/>
      <c r="N14" s="74"/>
      <c r="O14" s="74"/>
      <c r="P14" s="74"/>
      <c r="Q14" s="75"/>
      <c r="S14" s="17" t="s">
        <v>31</v>
      </c>
      <c r="T14" s="3" t="s">
        <v>22</v>
      </c>
      <c r="U14" s="3" t="s">
        <v>23</v>
      </c>
      <c r="W14" s="17" t="s">
        <v>128</v>
      </c>
      <c r="X14" s="3" t="s">
        <v>22</v>
      </c>
      <c r="Y14" s="3" t="s">
        <v>23</v>
      </c>
    </row>
    <row r="15" spans="1:25">
      <c r="A15" s="98" t="s">
        <v>17</v>
      </c>
      <c r="B15" s="6" t="s">
        <v>2</v>
      </c>
      <c r="C15" s="88">
        <f>SUM(E15:E17)</f>
        <v>29</v>
      </c>
      <c r="D15" s="88" t="s">
        <v>18</v>
      </c>
      <c r="E15" s="9"/>
      <c r="F15" s="6">
        <f t="shared" si="0"/>
        <v>0</v>
      </c>
      <c r="G15" s="86"/>
      <c r="H15" s="76"/>
      <c r="I15" s="76"/>
      <c r="J15" s="76"/>
      <c r="K15" s="76"/>
      <c r="L15" s="76"/>
      <c r="M15" s="76"/>
      <c r="N15" s="76"/>
      <c r="O15" s="76"/>
      <c r="P15" s="76"/>
      <c r="Q15" s="77"/>
      <c r="S15" s="78" t="s">
        <v>111</v>
      </c>
      <c r="T15" s="79">
        <v>359</v>
      </c>
      <c r="U15" s="79">
        <v>1078</v>
      </c>
      <c r="W15" s="81" t="s">
        <v>115</v>
      </c>
      <c r="X15" s="82">
        <v>600</v>
      </c>
      <c r="Y15" s="82">
        <v>2130</v>
      </c>
    </row>
    <row r="16" spans="1:25">
      <c r="A16" s="95"/>
      <c r="B16" s="2" t="s">
        <v>3</v>
      </c>
      <c r="C16" s="86"/>
      <c r="D16" s="88"/>
      <c r="E16" s="7">
        <f>(11*F16)+(H16+I16+J16+K16+L16+M16+N16+O16+P16+Q16-F16)*1</f>
        <v>0</v>
      </c>
      <c r="F16" s="2">
        <f t="shared" si="0"/>
        <v>0</v>
      </c>
      <c r="G16" s="86"/>
      <c r="H16" s="71"/>
      <c r="I16" s="71"/>
      <c r="J16" s="71"/>
      <c r="K16" s="71"/>
      <c r="L16" s="71"/>
      <c r="M16" s="71"/>
      <c r="N16" s="71"/>
      <c r="O16" s="71"/>
      <c r="P16" s="71"/>
      <c r="Q16" s="72"/>
      <c r="S16" s="78" t="s">
        <v>33</v>
      </c>
      <c r="T16" s="79">
        <v>615</v>
      </c>
      <c r="U16" s="79">
        <v>2559</v>
      </c>
      <c r="W16" s="78" t="s">
        <v>117</v>
      </c>
      <c r="X16" s="79">
        <v>480</v>
      </c>
      <c r="Y16" s="79">
        <v>1297</v>
      </c>
    </row>
    <row r="17" spans="1:25" ht="13.8" thickBot="1">
      <c r="A17" s="96"/>
      <c r="B17" s="12" t="s">
        <v>4</v>
      </c>
      <c r="C17" s="87"/>
      <c r="D17" s="89"/>
      <c r="E17" s="13">
        <f>(1*F17)+(H17+I17+J17+K17+L17+M17+N17+O17+P17+Q17-F17)*1</f>
        <v>29</v>
      </c>
      <c r="F17" s="12">
        <f t="shared" si="0"/>
        <v>1</v>
      </c>
      <c r="G17" s="87"/>
      <c r="H17" s="74"/>
      <c r="I17" s="74">
        <v>29</v>
      </c>
      <c r="J17" s="74"/>
      <c r="K17" s="74"/>
      <c r="L17" s="74"/>
      <c r="M17" s="74"/>
      <c r="N17" s="74"/>
      <c r="O17" s="74"/>
      <c r="P17" s="74"/>
      <c r="Q17" s="75"/>
      <c r="S17" s="78" t="s">
        <v>34</v>
      </c>
      <c r="T17" s="79">
        <v>723</v>
      </c>
      <c r="U17" s="79">
        <v>2301</v>
      </c>
      <c r="W17" s="78"/>
      <c r="X17" s="79"/>
      <c r="Y17" s="79"/>
    </row>
    <row r="18" spans="1:25">
      <c r="A18" s="94" t="s">
        <v>7</v>
      </c>
      <c r="B18" s="6" t="s">
        <v>2</v>
      </c>
      <c r="C18" s="88">
        <f>SUM(E18:E20)</f>
        <v>0</v>
      </c>
      <c r="D18" s="88" t="s">
        <v>18</v>
      </c>
      <c r="E18" s="9">
        <f>(11*F18)+(H18+I18+J18+K18+L18+M18+N18+O18+P18+Q18-F18)*1</f>
        <v>0</v>
      </c>
      <c r="F18" s="6">
        <f t="shared" si="0"/>
        <v>0</v>
      </c>
      <c r="G18" s="86"/>
      <c r="H18" s="76"/>
      <c r="I18" s="76"/>
      <c r="J18" s="76"/>
      <c r="K18" s="76"/>
      <c r="L18" s="76"/>
      <c r="M18" s="76"/>
      <c r="N18" s="76"/>
      <c r="O18" s="76"/>
      <c r="P18" s="76"/>
      <c r="Q18" s="77"/>
      <c r="S18" s="78" t="s">
        <v>35</v>
      </c>
      <c r="T18" s="79">
        <v>806</v>
      </c>
      <c r="U18" s="79">
        <v>2142</v>
      </c>
      <c r="W18" s="78"/>
      <c r="X18" s="79"/>
      <c r="Y18" s="79"/>
    </row>
    <row r="19" spans="1:25">
      <c r="A19" s="95"/>
      <c r="B19" s="2" t="s">
        <v>3</v>
      </c>
      <c r="C19" s="86"/>
      <c r="D19" s="88"/>
      <c r="E19" s="7">
        <f>(8*F19)+(H19+I19+J19+K19+L19+M19+N19+O19+P19+Q19-F19)*1</f>
        <v>0</v>
      </c>
      <c r="F19" s="2">
        <f t="shared" si="0"/>
        <v>0</v>
      </c>
      <c r="G19" s="86"/>
      <c r="H19" s="71"/>
      <c r="I19" s="71"/>
      <c r="J19" s="71"/>
      <c r="K19" s="71"/>
      <c r="L19" s="71"/>
      <c r="M19" s="71"/>
      <c r="N19" s="71"/>
      <c r="O19" s="71"/>
      <c r="P19" s="71"/>
      <c r="Q19" s="72"/>
      <c r="S19" s="78" t="s">
        <v>36</v>
      </c>
      <c r="T19" s="79">
        <v>759</v>
      </c>
      <c r="U19" s="79">
        <v>2187</v>
      </c>
      <c r="W19" s="78"/>
      <c r="X19" s="79"/>
      <c r="Y19" s="79"/>
    </row>
    <row r="20" spans="1:25" ht="13.8" thickBot="1">
      <c r="A20" s="96"/>
      <c r="B20" s="12" t="s">
        <v>4</v>
      </c>
      <c r="C20" s="87"/>
      <c r="D20" s="89"/>
      <c r="E20" s="13">
        <f>(5*F20)+(H20+I20+J20+K20+L20+M20+N20+O20+P20+Q20-F20)*1</f>
        <v>0</v>
      </c>
      <c r="F20" s="12">
        <f t="shared" si="0"/>
        <v>0</v>
      </c>
      <c r="G20" s="87"/>
      <c r="H20" s="74"/>
      <c r="I20" s="74"/>
      <c r="J20" s="74"/>
      <c r="K20" s="74"/>
      <c r="L20" s="74"/>
      <c r="M20" s="74"/>
      <c r="N20" s="74"/>
      <c r="O20" s="74"/>
      <c r="P20" s="74"/>
      <c r="Q20" s="75"/>
      <c r="S20" s="78" t="s">
        <v>32</v>
      </c>
      <c r="T20" s="79">
        <v>657</v>
      </c>
      <c r="U20" s="79">
        <v>2355</v>
      </c>
      <c r="W20" s="78"/>
      <c r="X20" s="79"/>
      <c r="Y20" s="79"/>
    </row>
    <row r="21" spans="1:25" ht="13.8" thickBot="1">
      <c r="S21" s="19" t="s">
        <v>30</v>
      </c>
      <c r="T21" s="20">
        <f>SUM(T15:T20)</f>
        <v>3919</v>
      </c>
      <c r="U21" s="21">
        <f>SUM(U15:U20)</f>
        <v>12622</v>
      </c>
    </row>
    <row r="22" spans="1:25">
      <c r="A22" s="47" t="s">
        <v>1</v>
      </c>
      <c r="B22" s="23">
        <f>C3/100</f>
        <v>1.06</v>
      </c>
      <c r="C22" s="14"/>
      <c r="D22" s="15"/>
      <c r="E22" s="84">
        <f>U$24*(B22+1)*(U25+1)*(U26+1)*IF(B24=0,1,B24+1)</f>
        <v>106716.24</v>
      </c>
      <c r="F22" s="85"/>
      <c r="G22" s="85"/>
    </row>
    <row r="23" spans="1:25" ht="13.8" thickBot="1">
      <c r="A23" s="52" t="s">
        <v>5</v>
      </c>
      <c r="B23" s="53">
        <f>C6/100</f>
        <v>0.89</v>
      </c>
      <c r="C23" s="54"/>
      <c r="D23" s="55"/>
      <c r="E23" s="84">
        <f>T$24*(B23+1)*(T25+1)*(T26+1)</f>
        <v>10451.700000000001</v>
      </c>
      <c r="F23" s="85"/>
      <c r="G23" s="85"/>
      <c r="T23" s="3" t="s">
        <v>22</v>
      </c>
      <c r="U23" s="3" t="s">
        <v>23</v>
      </c>
    </row>
    <row r="24" spans="1:25" ht="13.8" thickBot="1">
      <c r="A24" s="56" t="s">
        <v>123</v>
      </c>
      <c r="B24" s="24">
        <f>C9/100</f>
        <v>0</v>
      </c>
      <c r="C24" s="14"/>
      <c r="D24" s="15"/>
      <c r="E24" s="51"/>
      <c r="S24" s="19" t="s">
        <v>39</v>
      </c>
      <c r="T24" s="20">
        <f>+T12+T21</f>
        <v>5530</v>
      </c>
      <c r="U24" s="21">
        <f>+U12+U21</f>
        <v>34536</v>
      </c>
    </row>
    <row r="25" spans="1:25">
      <c r="A25" s="8" t="s">
        <v>38</v>
      </c>
      <c r="B25" s="22">
        <f>C15/100</f>
        <v>0.28999999999999998</v>
      </c>
      <c r="C25" s="14"/>
      <c r="D25" s="15"/>
      <c r="S25" s="4" t="s">
        <v>57</v>
      </c>
      <c r="T25" s="80"/>
      <c r="U25" s="80">
        <v>0.5</v>
      </c>
    </row>
    <row r="26" spans="1:25">
      <c r="A26" s="3" t="s">
        <v>7</v>
      </c>
      <c r="B26" s="22">
        <f>C18/100</f>
        <v>0</v>
      </c>
      <c r="C26" s="14"/>
      <c r="D26" s="15"/>
      <c r="S26" s="4" t="s">
        <v>58</v>
      </c>
      <c r="T26" s="80"/>
      <c r="U26" s="80"/>
    </row>
  </sheetData>
  <mergeCells count="26">
    <mergeCell ref="A18:A20"/>
    <mergeCell ref="C3:C5"/>
    <mergeCell ref="C6:C8"/>
    <mergeCell ref="C12:C14"/>
    <mergeCell ref="C15:C17"/>
    <mergeCell ref="C18:C20"/>
    <mergeCell ref="A3:A5"/>
    <mergeCell ref="A6:A8"/>
    <mergeCell ref="A12:A14"/>
    <mergeCell ref="A15:A17"/>
    <mergeCell ref="A9:A11"/>
    <mergeCell ref="C9:C11"/>
    <mergeCell ref="D3:D5"/>
    <mergeCell ref="D6:D8"/>
    <mergeCell ref="G3:G5"/>
    <mergeCell ref="G6:G8"/>
    <mergeCell ref="G12:G14"/>
    <mergeCell ref="D12:D14"/>
    <mergeCell ref="D9:D11"/>
    <mergeCell ref="E23:G23"/>
    <mergeCell ref="G18:G20"/>
    <mergeCell ref="G9:G11"/>
    <mergeCell ref="E22:G22"/>
    <mergeCell ref="D18:D20"/>
    <mergeCell ref="G15:G17"/>
    <mergeCell ref="D15:D17"/>
  </mergeCells>
  <phoneticPr fontId="1"/>
  <pageMargins left="0.7" right="0.7" top="0.75" bottom="0.75" header="0.3" footer="0.3"/>
  <pageSetup paperSize="9" orientation="portrait" r:id="rId1"/>
  <ignoredErrors>
    <ignoredError sqref="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6"/>
  <sheetViews>
    <sheetView workbookViewId="0">
      <selection activeCell="A25" sqref="A25:D25"/>
    </sheetView>
  </sheetViews>
  <sheetFormatPr defaultRowHeight="13.2"/>
  <cols>
    <col min="1" max="1" width="16.77734375" customWidth="1"/>
    <col min="2" max="2" width="6.77734375" style="1" customWidth="1"/>
    <col min="3" max="3" width="5.77734375" style="1" customWidth="1"/>
    <col min="4" max="4" width="6.77734375" style="1" customWidth="1"/>
    <col min="5" max="6" width="5.77734375" style="1" customWidth="1"/>
    <col min="7" max="17" width="3.77734375" customWidth="1"/>
    <col min="18" max="18" width="2.77734375" customWidth="1"/>
    <col min="19" max="19" width="24" bestFit="1" customWidth="1"/>
    <col min="20" max="20" width="6.5546875" bestFit="1" customWidth="1"/>
    <col min="21" max="21" width="7.5546875" bestFit="1" customWidth="1"/>
    <col min="22" max="22" width="2.77734375" customWidth="1"/>
    <col min="23" max="23" width="24.88671875" bestFit="1" customWidth="1"/>
    <col min="24" max="24" width="6.5546875" bestFit="1" customWidth="1"/>
    <col min="25" max="25" width="7.5546875" bestFit="1" customWidth="1"/>
    <col min="26" max="37" width="5.77734375" customWidth="1"/>
  </cols>
  <sheetData>
    <row r="1" spans="1:25" ht="13.8" thickBot="1">
      <c r="A1" t="s">
        <v>20</v>
      </c>
      <c r="B1" s="16">
        <v>53434</v>
      </c>
      <c r="S1" s="17" t="s">
        <v>21</v>
      </c>
      <c r="T1" s="3" t="s">
        <v>22</v>
      </c>
      <c r="U1" s="3" t="s">
        <v>23</v>
      </c>
      <c r="W1" s="17" t="s">
        <v>127</v>
      </c>
      <c r="X1" s="3" t="s">
        <v>22</v>
      </c>
      <c r="Y1" s="3" t="s">
        <v>23</v>
      </c>
    </row>
    <row r="2" spans="1:25" s="1" customFormat="1" ht="13.8" thickBot="1">
      <c r="A2" s="5" t="s">
        <v>8</v>
      </c>
      <c r="B2" s="5" t="s">
        <v>13</v>
      </c>
      <c r="C2" s="5" t="s">
        <v>14</v>
      </c>
      <c r="D2" s="5" t="s">
        <v>19</v>
      </c>
      <c r="E2" s="5" t="s">
        <v>16</v>
      </c>
      <c r="F2" s="5" t="s">
        <v>15</v>
      </c>
      <c r="G2" s="66" t="s">
        <v>126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  <c r="O2" s="5">
        <v>8</v>
      </c>
      <c r="P2" s="5">
        <v>9</v>
      </c>
      <c r="Q2" s="65">
        <v>10</v>
      </c>
      <c r="S2" s="78" t="s">
        <v>41</v>
      </c>
      <c r="T2" s="79">
        <v>114</v>
      </c>
      <c r="U2" s="79">
        <v>2754</v>
      </c>
      <c r="W2" s="78" t="s">
        <v>43</v>
      </c>
      <c r="X2" s="79">
        <v>92</v>
      </c>
      <c r="Y2" s="79">
        <v>1232</v>
      </c>
    </row>
    <row r="3" spans="1:25">
      <c r="A3" s="97" t="s">
        <v>1</v>
      </c>
      <c r="B3" s="10" t="s">
        <v>2</v>
      </c>
      <c r="C3" s="90">
        <f>SUM(E3:E5)+SUM(E12:E14)+D3</f>
        <v>144</v>
      </c>
      <c r="D3" s="90">
        <f>IF(G3="",0,11+(G3-1)*1)</f>
        <v>30</v>
      </c>
      <c r="E3" s="11">
        <f>(6.5*F3)+(H3+I3+J3+K3+L3+M3+N3+O3+P3+Q3-F3)*0.5</f>
        <v>60</v>
      </c>
      <c r="F3" s="10">
        <f t="shared" ref="F3:F20" si="0">COUNT(H3:Q3)</f>
        <v>4</v>
      </c>
      <c r="G3" s="91">
        <v>20</v>
      </c>
      <c r="H3" s="68">
        <v>30</v>
      </c>
      <c r="I3" s="68"/>
      <c r="J3" s="68"/>
      <c r="K3" s="68">
        <v>14</v>
      </c>
      <c r="L3" s="68">
        <v>14</v>
      </c>
      <c r="M3" s="68">
        <v>14</v>
      </c>
      <c r="N3" s="68"/>
      <c r="O3" s="68"/>
      <c r="P3" s="68"/>
      <c r="Q3" s="69"/>
      <c r="S3" s="78" t="s">
        <v>112</v>
      </c>
      <c r="T3" s="79">
        <v>244</v>
      </c>
      <c r="U3" s="79">
        <v>2686</v>
      </c>
      <c r="W3" s="78"/>
      <c r="X3" s="79"/>
      <c r="Y3" s="79"/>
    </row>
    <row r="4" spans="1:25">
      <c r="A4" s="95"/>
      <c r="B4" s="2" t="s">
        <v>3</v>
      </c>
      <c r="C4" s="86"/>
      <c r="D4" s="88"/>
      <c r="E4" s="7">
        <f>(3.5*F4)+(H4+I4+J4+K4+L4+M4+N4+O4+P4+Q4-F4)*0.5</f>
        <v>27</v>
      </c>
      <c r="F4" s="2">
        <f t="shared" si="0"/>
        <v>3</v>
      </c>
      <c r="G4" s="92"/>
      <c r="H4" s="71"/>
      <c r="I4" s="71"/>
      <c r="J4" s="71"/>
      <c r="K4" s="71"/>
      <c r="L4" s="71"/>
      <c r="M4" s="71"/>
      <c r="N4" s="71">
        <v>12</v>
      </c>
      <c r="O4" s="71">
        <v>12</v>
      </c>
      <c r="P4" s="71">
        <v>12</v>
      </c>
      <c r="Q4" s="72"/>
      <c r="S4" s="78" t="s">
        <v>113</v>
      </c>
      <c r="T4" s="79">
        <v>99</v>
      </c>
      <c r="U4" s="79">
        <v>2482</v>
      </c>
      <c r="W4" s="78"/>
      <c r="X4" s="79"/>
      <c r="Y4" s="79"/>
    </row>
    <row r="5" spans="1:25" ht="13.8" thickBot="1">
      <c r="A5" s="96"/>
      <c r="B5" s="12" t="s">
        <v>4</v>
      </c>
      <c r="C5" s="87"/>
      <c r="D5" s="89"/>
      <c r="E5" s="13">
        <f>(0.5*F5)+(H5+I5+J5+K5+L5+M5+N5+O5+P5+Q5-F5)*0.5</f>
        <v>15</v>
      </c>
      <c r="F5" s="12">
        <f t="shared" si="0"/>
        <v>1</v>
      </c>
      <c r="G5" s="93"/>
      <c r="H5" s="74"/>
      <c r="I5" s="74">
        <v>30</v>
      </c>
      <c r="J5" s="74"/>
      <c r="K5" s="74"/>
      <c r="L5" s="74"/>
      <c r="M5" s="74"/>
      <c r="N5" s="74"/>
      <c r="O5" s="74"/>
      <c r="P5" s="74"/>
      <c r="Q5" s="75"/>
      <c r="S5" s="78" t="s">
        <v>42</v>
      </c>
      <c r="T5" s="79">
        <v>124</v>
      </c>
      <c r="U5" s="79">
        <v>2677</v>
      </c>
      <c r="W5" s="78"/>
      <c r="X5" s="79"/>
      <c r="Y5" s="79"/>
    </row>
    <row r="6" spans="1:25">
      <c r="A6" s="94" t="s">
        <v>5</v>
      </c>
      <c r="B6" s="6" t="s">
        <v>2</v>
      </c>
      <c r="C6" s="88">
        <f>SUM(E6:E8)+D6</f>
        <v>36</v>
      </c>
      <c r="D6" s="88">
        <f>IF(G6="",0,11+(G6-1)*1)</f>
        <v>0</v>
      </c>
      <c r="E6" s="9">
        <f>(6.5*F6)+(H6+I6+J6+K6+L6+M6+N6+O6+P6+Q6-F6)*0.5</f>
        <v>21</v>
      </c>
      <c r="F6" s="6">
        <f t="shared" si="0"/>
        <v>1</v>
      </c>
      <c r="G6" s="91"/>
      <c r="H6" s="76"/>
      <c r="I6" s="76">
        <v>30</v>
      </c>
      <c r="J6" s="76"/>
      <c r="K6" s="76"/>
      <c r="L6" s="76"/>
      <c r="M6" s="76"/>
      <c r="N6" s="76"/>
      <c r="O6" s="76"/>
      <c r="P6" s="76"/>
      <c r="Q6" s="69"/>
      <c r="S6" s="78" t="s">
        <v>46</v>
      </c>
      <c r="T6" s="79">
        <v>84</v>
      </c>
      <c r="U6" s="79">
        <v>2026</v>
      </c>
      <c r="W6" s="78"/>
      <c r="X6" s="79"/>
      <c r="Y6" s="79"/>
    </row>
    <row r="7" spans="1:25">
      <c r="A7" s="95"/>
      <c r="B7" s="2" t="s">
        <v>3</v>
      </c>
      <c r="C7" s="86"/>
      <c r="D7" s="88"/>
      <c r="E7" s="7">
        <f>(3.5*F7)+(H7+I7+J7+K7+L7+M7+N7+O7+P7+Q7-F7)*0.5</f>
        <v>0</v>
      </c>
      <c r="F7" s="2">
        <f t="shared" si="0"/>
        <v>0</v>
      </c>
      <c r="G7" s="92"/>
      <c r="H7" s="71"/>
      <c r="I7" s="71"/>
      <c r="J7" s="71"/>
      <c r="K7" s="71"/>
      <c r="L7" s="71"/>
      <c r="M7" s="71"/>
      <c r="N7" s="71"/>
      <c r="O7" s="71"/>
      <c r="P7" s="71"/>
      <c r="Q7" s="72"/>
      <c r="S7" s="78" t="s">
        <v>44</v>
      </c>
      <c r="T7" s="79">
        <v>69</v>
      </c>
      <c r="U7" s="79">
        <v>1330</v>
      </c>
      <c r="W7" s="78"/>
      <c r="X7" s="79"/>
      <c r="Y7" s="79"/>
    </row>
    <row r="8" spans="1:25" ht="13.8" thickBot="1">
      <c r="A8" s="96"/>
      <c r="B8" s="12" t="s">
        <v>4</v>
      </c>
      <c r="C8" s="87"/>
      <c r="D8" s="89"/>
      <c r="E8" s="13">
        <f>(0.5*F8)+(H8+I8+J8+K8+L8+M8+N8+O8+P8+Q8-F8)*0.5</f>
        <v>15</v>
      </c>
      <c r="F8" s="12">
        <f t="shared" si="0"/>
        <v>1</v>
      </c>
      <c r="G8" s="93"/>
      <c r="H8" s="74">
        <v>30</v>
      </c>
      <c r="I8" s="74"/>
      <c r="J8" s="74"/>
      <c r="K8" s="74"/>
      <c r="L8" s="74"/>
      <c r="M8" s="74"/>
      <c r="N8" s="74"/>
      <c r="O8" s="74"/>
      <c r="P8" s="74"/>
      <c r="Q8" s="75"/>
      <c r="S8" s="78" t="s">
        <v>45</v>
      </c>
      <c r="T8" s="79">
        <v>56</v>
      </c>
      <c r="U8" s="79">
        <v>1356</v>
      </c>
      <c r="W8" s="78"/>
      <c r="X8" s="79"/>
      <c r="Y8" s="79"/>
    </row>
    <row r="9" spans="1:25">
      <c r="A9" s="98" t="s">
        <v>122</v>
      </c>
      <c r="B9" s="6" t="s">
        <v>2</v>
      </c>
      <c r="C9" s="99">
        <f>SUM(E9:E11)</f>
        <v>0</v>
      </c>
      <c r="D9" s="88" t="s">
        <v>18</v>
      </c>
      <c r="E9" s="48">
        <f>IF(H9="",0,(16+H9*0.2)^0.75-(16+H9*0.2)^0.5)+IF(I9="",0,(16+I9*0.2)^0.75-(16+I9*0.2)^0.5)+IF(J9="",0,(16+J9*0.2)^0.75-(16+J9*0.2)^0.5)+IF(K9="",0,(16+K9*0.2)^0.75-(16+K9*0.2)^0.5)+IF(L9="",0,(16+L9*0.2)^0.75-(16+L9*0.2)^0.5)+IF(M9="",0,(16+M9*0.2)^0.75-(16+M9*0.2)^0.5)+IF(N9="",0,(16+N9*0.2)^0.75-(16+N9*0.2)^0.5)+IF(O9="",0,(16+O9*0.2)^0.75-(16+O9*0.2)^0.5)+IF(P9="",0,(16+P9*0.2)^0.75-(16+P9*0.2)^0.5)+IF(Q9="",0,(16+Q9*0.2)^0.75-(16+Q9*0.2)^0.5)</f>
        <v>0</v>
      </c>
      <c r="F9" s="6">
        <f t="shared" si="0"/>
        <v>0</v>
      </c>
      <c r="G9" s="86"/>
      <c r="H9" s="76"/>
      <c r="I9" s="76"/>
      <c r="J9" s="76"/>
      <c r="K9" s="76"/>
      <c r="L9" s="76"/>
      <c r="M9" s="76"/>
      <c r="N9" s="76"/>
      <c r="O9" s="76"/>
      <c r="P9" s="76"/>
      <c r="Q9" s="77"/>
      <c r="S9" s="78" t="s">
        <v>47</v>
      </c>
      <c r="T9" s="79">
        <v>138</v>
      </c>
      <c r="U9" s="79">
        <v>2112</v>
      </c>
      <c r="W9" s="78"/>
      <c r="X9" s="79"/>
      <c r="Y9" s="79"/>
    </row>
    <row r="10" spans="1:25">
      <c r="A10" s="95"/>
      <c r="B10" s="3" t="s">
        <v>3</v>
      </c>
      <c r="C10" s="99"/>
      <c r="D10" s="88"/>
      <c r="E10" s="50">
        <f>IF(H10="",0,(12+H10*0.2)^0.75-(12+H10*0.2)^0.5)+IF(I10="",0,(12+I10*0.2)^0.75-(12+I10*0.2)^0.5)+IF(J10="",0,(12+J10*0.2)^0.75-(12+J10*0.2)^0.5)+IF(K10="",0,(12+K10*0.2)^0.75-(12+K10*0.2)^0.5)+IF(L10="",0,(12+L10*0.2)^0.75-(12+L10*0.2)^0.5)+IF(M10="",0,(12+M10*0.2)^0.75-(12+M10*0.2)^0.5)+IF(N10="",0,(12+N10*0.2)^0.75-(12+N10*0.2)^0.5)+IF(O10="",0,(12+O10*0.2)^0.75-(12+O10*0.2)^0.5)+IF(P10="",0,(12+P10*0.2)^0.75-(12+P10*0.2)^0.5)+IF(Q10="",0,(12+Q10*0.2)^0.75-(12+Q10*0.2)^0.5)</f>
        <v>0</v>
      </c>
      <c r="F10" s="3">
        <f t="shared" si="0"/>
        <v>0</v>
      </c>
      <c r="G10" s="86"/>
      <c r="H10" s="71"/>
      <c r="I10" s="71"/>
      <c r="J10" s="71"/>
      <c r="K10" s="71"/>
      <c r="L10" s="71"/>
      <c r="M10" s="71"/>
      <c r="N10" s="71"/>
      <c r="O10" s="71"/>
      <c r="P10" s="71"/>
      <c r="Q10" s="72"/>
      <c r="S10" s="78" t="s">
        <v>48</v>
      </c>
      <c r="T10" s="79">
        <v>120</v>
      </c>
      <c r="U10" s="79">
        <v>2244</v>
      </c>
      <c r="W10" s="78"/>
      <c r="X10" s="79"/>
      <c r="Y10" s="79"/>
    </row>
    <row r="11" spans="1:25" ht="13.8" thickBot="1">
      <c r="A11" s="96"/>
      <c r="B11" s="12" t="s">
        <v>4</v>
      </c>
      <c r="C11" s="100"/>
      <c r="D11" s="89"/>
      <c r="E11" s="49">
        <f>IF(H11="",0,(8+H11*0.2)^0.75-(8+H11*0.2)^0.5)+IF(I11="",0,(8+I11*0.2)^0.75-(8+I11*0.2)^0.5)+IF(J11="",0,(8+J11*0.2)^0.75-(8+J11*0.2)^0.5)+IF(K11="",0,(8+K11*0.2)^0.75-(8+K11*0.2)^0.5)+IF(L11="",0,(8+L11*0.2)^0.75-(8+L11*0.2)^0.5)+IF(M11="",0,(8+M11*0.2)^0.75-(8+M11*0.2)^0.5)+IF(N11="",0,(8+N11*0.2)^0.75-(8+N11*0.2)^0.5)+IF(O11="",0,(8+O11*0.2)^0.75-(8+O11*0.2)^0.5)+IF(P11="",0,(8+P11*0.2)^0.75-(8+P11*0.2)^0.5)+IF(Q11="",0,(8+Q11*0.2)^0.75-(8+Q11*0.2)^0.5)</f>
        <v>0</v>
      </c>
      <c r="F11" s="12">
        <f t="shared" si="0"/>
        <v>0</v>
      </c>
      <c r="G11" s="87"/>
      <c r="H11" s="74"/>
      <c r="I11" s="74"/>
      <c r="J11" s="74"/>
      <c r="K11" s="74"/>
      <c r="L11" s="74"/>
      <c r="M11" s="74"/>
      <c r="N11" s="74"/>
      <c r="O11" s="74"/>
      <c r="P11" s="74"/>
      <c r="Q11" s="75"/>
      <c r="S11" s="81" t="s">
        <v>49</v>
      </c>
      <c r="T11" s="82">
        <v>96</v>
      </c>
      <c r="U11" s="82">
        <v>2280</v>
      </c>
      <c r="W11" s="78"/>
      <c r="X11" s="79"/>
      <c r="Y11" s="79"/>
    </row>
    <row r="12" spans="1:25" ht="13.8" thickBot="1">
      <c r="A12" s="94" t="s">
        <v>6</v>
      </c>
      <c r="B12" s="6" t="s">
        <v>2</v>
      </c>
      <c r="C12" s="88" t="s">
        <v>18</v>
      </c>
      <c r="D12" s="88" t="s">
        <v>18</v>
      </c>
      <c r="E12" s="9">
        <f>(0.5*F12)+(H12+I12+J12+K12+L12+M12+N12+O12+P12+Q12-F12)*0.5</f>
        <v>12</v>
      </c>
      <c r="F12" s="6">
        <f t="shared" si="0"/>
        <v>1</v>
      </c>
      <c r="G12" s="86"/>
      <c r="H12" s="76"/>
      <c r="I12" s="76"/>
      <c r="J12" s="76">
        <v>24</v>
      </c>
      <c r="K12" s="76"/>
      <c r="L12" s="76"/>
      <c r="M12" s="76"/>
      <c r="N12" s="76"/>
      <c r="O12" s="76"/>
      <c r="P12" s="76"/>
      <c r="Q12" s="77"/>
      <c r="S12" s="19" t="s">
        <v>30</v>
      </c>
      <c r="T12" s="20">
        <f>SUM(T2:T11)</f>
        <v>1144</v>
      </c>
      <c r="U12" s="21">
        <f>SUM(U2:U11)</f>
        <v>21947</v>
      </c>
      <c r="W12" s="78"/>
      <c r="X12" s="83"/>
      <c r="Y12" s="83"/>
    </row>
    <row r="13" spans="1:25">
      <c r="A13" s="95"/>
      <c r="B13" s="2" t="s">
        <v>3</v>
      </c>
      <c r="C13" s="86"/>
      <c r="D13" s="88"/>
      <c r="E13" s="7">
        <f>(0.5*F13)+(H13+I13+J13+K13+L13+M13+N13+O13+P13+Q13-F13)*0.5</f>
        <v>0</v>
      </c>
      <c r="F13" s="2">
        <f t="shared" si="0"/>
        <v>0</v>
      </c>
      <c r="G13" s="86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1:25" ht="13.8" thickBot="1">
      <c r="A14" s="96"/>
      <c r="B14" s="12" t="s">
        <v>4</v>
      </c>
      <c r="C14" s="87"/>
      <c r="D14" s="89"/>
      <c r="E14" s="13">
        <f>(0.35*F14)+(H14+I14+J14+K14+L14+M14+N14+O14+P14+Q14-F14)*0.35</f>
        <v>0</v>
      </c>
      <c r="F14" s="12">
        <f t="shared" si="0"/>
        <v>0</v>
      </c>
      <c r="G14" s="87"/>
      <c r="H14" s="74"/>
      <c r="I14" s="74"/>
      <c r="J14" s="74"/>
      <c r="K14" s="74"/>
      <c r="L14" s="74"/>
      <c r="M14" s="74"/>
      <c r="N14" s="74"/>
      <c r="O14" s="74"/>
      <c r="P14" s="74"/>
      <c r="Q14" s="75"/>
      <c r="S14" s="17" t="s">
        <v>31</v>
      </c>
      <c r="T14" s="3" t="s">
        <v>22</v>
      </c>
      <c r="U14" s="3" t="s">
        <v>23</v>
      </c>
      <c r="W14" s="17" t="s">
        <v>128</v>
      </c>
      <c r="X14" s="3" t="s">
        <v>22</v>
      </c>
      <c r="Y14" s="3" t="s">
        <v>23</v>
      </c>
    </row>
    <row r="15" spans="1:25">
      <c r="A15" s="98" t="s">
        <v>17</v>
      </c>
      <c r="B15" s="6" t="s">
        <v>2</v>
      </c>
      <c r="C15" s="88">
        <f>SUM(E15:E17)</f>
        <v>0</v>
      </c>
      <c r="D15" s="88" t="s">
        <v>18</v>
      </c>
      <c r="E15" s="9"/>
      <c r="F15" s="6">
        <f t="shared" si="0"/>
        <v>0</v>
      </c>
      <c r="G15" s="86"/>
      <c r="H15" s="76"/>
      <c r="I15" s="76"/>
      <c r="J15" s="76"/>
      <c r="K15" s="76"/>
      <c r="L15" s="76"/>
      <c r="M15" s="76"/>
      <c r="N15" s="76"/>
      <c r="O15" s="76"/>
      <c r="P15" s="76"/>
      <c r="Q15" s="77"/>
      <c r="S15" s="78" t="s">
        <v>40</v>
      </c>
      <c r="T15" s="79">
        <v>354</v>
      </c>
      <c r="U15" s="79">
        <v>1188</v>
      </c>
      <c r="W15" s="81" t="s">
        <v>115</v>
      </c>
      <c r="X15" s="82">
        <v>600</v>
      </c>
      <c r="Y15" s="82">
        <v>2130</v>
      </c>
    </row>
    <row r="16" spans="1:25">
      <c r="A16" s="95"/>
      <c r="B16" s="2" t="s">
        <v>3</v>
      </c>
      <c r="C16" s="86"/>
      <c r="D16" s="88"/>
      <c r="E16" s="7">
        <f>(11*F16)+(H16+I16+J16+K16+L16+M16+N16+O16+P16+Q16-F16)*1</f>
        <v>0</v>
      </c>
      <c r="F16" s="2">
        <f t="shared" si="0"/>
        <v>0</v>
      </c>
      <c r="G16" s="86"/>
      <c r="H16" s="71"/>
      <c r="I16" s="71"/>
      <c r="J16" s="71"/>
      <c r="K16" s="71"/>
      <c r="L16" s="71"/>
      <c r="M16" s="71"/>
      <c r="N16" s="71"/>
      <c r="O16" s="71"/>
      <c r="P16" s="71"/>
      <c r="Q16" s="72"/>
      <c r="S16" s="78" t="s">
        <v>32</v>
      </c>
      <c r="T16" s="79">
        <v>657</v>
      </c>
      <c r="U16" s="79">
        <v>2355</v>
      </c>
      <c r="W16" s="78"/>
      <c r="X16" s="79"/>
      <c r="Y16" s="79"/>
    </row>
    <row r="17" spans="1:25" ht="13.8" thickBot="1">
      <c r="A17" s="96"/>
      <c r="B17" s="12" t="s">
        <v>4</v>
      </c>
      <c r="C17" s="87"/>
      <c r="D17" s="89"/>
      <c r="E17" s="13">
        <f>(1*F17)+(H17+I17+J17+K17+L17+M17+N17+O17+P17+Q17-F17)*1</f>
        <v>0</v>
      </c>
      <c r="F17" s="12">
        <f t="shared" si="0"/>
        <v>0</v>
      </c>
      <c r="G17" s="87"/>
      <c r="H17" s="74"/>
      <c r="I17" s="74"/>
      <c r="J17" s="74"/>
      <c r="K17" s="74"/>
      <c r="L17" s="74"/>
      <c r="M17" s="74"/>
      <c r="N17" s="74"/>
      <c r="O17" s="74"/>
      <c r="P17" s="74"/>
      <c r="Q17" s="75"/>
      <c r="S17" s="78" t="s">
        <v>34</v>
      </c>
      <c r="T17" s="79">
        <v>723</v>
      </c>
      <c r="U17" s="79">
        <v>2301</v>
      </c>
      <c r="W17" s="78"/>
      <c r="X17" s="79"/>
      <c r="Y17" s="79"/>
    </row>
    <row r="18" spans="1:25">
      <c r="A18" s="94" t="s">
        <v>7</v>
      </c>
      <c r="B18" s="6" t="s">
        <v>2</v>
      </c>
      <c r="C18" s="88">
        <f>SUM(E18:E20)</f>
        <v>16</v>
      </c>
      <c r="D18" s="88" t="s">
        <v>18</v>
      </c>
      <c r="E18" s="9">
        <f>(11*F18)+(H18+I18+J18+K18+L18+M18+N18+O18+P18+Q18-F18)*1</f>
        <v>0</v>
      </c>
      <c r="F18" s="6">
        <f t="shared" si="0"/>
        <v>0</v>
      </c>
      <c r="G18" s="86"/>
      <c r="H18" s="76"/>
      <c r="I18" s="76"/>
      <c r="J18" s="76"/>
      <c r="K18" s="76"/>
      <c r="L18" s="76"/>
      <c r="M18" s="76"/>
      <c r="N18" s="76"/>
      <c r="O18" s="76"/>
      <c r="P18" s="76"/>
      <c r="Q18" s="77"/>
      <c r="S18" s="78" t="s">
        <v>35</v>
      </c>
      <c r="T18" s="79">
        <v>806</v>
      </c>
      <c r="U18" s="79">
        <v>2142</v>
      </c>
      <c r="W18" s="78"/>
      <c r="X18" s="79"/>
      <c r="Y18" s="79"/>
    </row>
    <row r="19" spans="1:25">
      <c r="A19" s="95"/>
      <c r="B19" s="2" t="s">
        <v>3</v>
      </c>
      <c r="C19" s="86"/>
      <c r="D19" s="88"/>
      <c r="E19" s="7">
        <f>(8*F19)+(H19+I19+J19+K19+L19+M19+N19+O19+P19+Q19-F19)*1</f>
        <v>0</v>
      </c>
      <c r="F19" s="2">
        <f t="shared" si="0"/>
        <v>0</v>
      </c>
      <c r="G19" s="86"/>
      <c r="H19" s="71"/>
      <c r="I19" s="71"/>
      <c r="J19" s="71"/>
      <c r="K19" s="71"/>
      <c r="L19" s="71"/>
      <c r="M19" s="71"/>
      <c r="N19" s="71"/>
      <c r="O19" s="71"/>
      <c r="P19" s="71"/>
      <c r="Q19" s="72"/>
      <c r="S19" s="78" t="s">
        <v>36</v>
      </c>
      <c r="T19" s="79">
        <v>759</v>
      </c>
      <c r="U19" s="79">
        <v>2187</v>
      </c>
      <c r="W19" s="78"/>
      <c r="X19" s="79"/>
      <c r="Y19" s="79"/>
    </row>
    <row r="20" spans="1:25" ht="13.8" thickBot="1">
      <c r="A20" s="96"/>
      <c r="B20" s="12" t="s">
        <v>4</v>
      </c>
      <c r="C20" s="87"/>
      <c r="D20" s="89"/>
      <c r="E20" s="13">
        <f>(5*F20)+(H20+I20+J20+K20+L20+M20+N20+O20+P20+Q20-F20)*1</f>
        <v>16</v>
      </c>
      <c r="F20" s="12">
        <f t="shared" si="0"/>
        <v>1</v>
      </c>
      <c r="G20" s="87"/>
      <c r="H20" s="74"/>
      <c r="I20" s="74"/>
      <c r="J20" s="74"/>
      <c r="K20" s="74"/>
      <c r="L20" s="74"/>
      <c r="M20" s="74"/>
      <c r="N20" s="74">
        <v>12</v>
      </c>
      <c r="O20" s="74"/>
      <c r="P20" s="74"/>
      <c r="Q20" s="75"/>
      <c r="S20" s="81" t="s">
        <v>33</v>
      </c>
      <c r="T20" s="82">
        <v>615</v>
      </c>
      <c r="U20" s="82">
        <v>2559</v>
      </c>
      <c r="W20" s="78"/>
      <c r="X20" s="79"/>
      <c r="Y20" s="79"/>
    </row>
    <row r="21" spans="1:25" ht="13.8" thickBot="1">
      <c r="S21" s="19" t="s">
        <v>30</v>
      </c>
      <c r="T21" s="20">
        <f>SUM(T15:T20)</f>
        <v>3914</v>
      </c>
      <c r="U21" s="21">
        <f>SUM(U15:U20)</f>
        <v>12732</v>
      </c>
    </row>
    <row r="22" spans="1:25">
      <c r="A22" s="47" t="s">
        <v>1</v>
      </c>
      <c r="B22" s="23">
        <f>C3/100</f>
        <v>1.44</v>
      </c>
      <c r="C22" s="14"/>
      <c r="D22" s="15"/>
      <c r="E22" s="84">
        <f>U$24*(B22+1)*(U25+1)*(U26+1)*IF(B24=0,1,B24+1)</f>
        <v>126925.13999999998</v>
      </c>
      <c r="F22" s="85"/>
      <c r="G22" s="85"/>
    </row>
    <row r="23" spans="1:25" ht="13.8" thickBot="1">
      <c r="A23" s="52" t="s">
        <v>5</v>
      </c>
      <c r="B23" s="53">
        <f>C6/100</f>
        <v>0.36</v>
      </c>
      <c r="C23" s="54"/>
      <c r="D23" s="55"/>
      <c r="E23" s="84">
        <f>T$24*(B23+1)*(T25+1)*(T26+1)</f>
        <v>6878.8799999999992</v>
      </c>
      <c r="F23" s="85"/>
      <c r="G23" s="85"/>
      <c r="T23" s="3" t="s">
        <v>22</v>
      </c>
      <c r="U23" s="3" t="s">
        <v>23</v>
      </c>
    </row>
    <row r="24" spans="1:25" ht="13.8" thickBot="1">
      <c r="A24" s="56" t="s">
        <v>123</v>
      </c>
      <c r="B24" s="24">
        <f>C9/100</f>
        <v>0</v>
      </c>
      <c r="C24" s="14"/>
      <c r="D24" s="15"/>
      <c r="E24" s="51"/>
      <c r="S24" s="19" t="s">
        <v>39</v>
      </c>
      <c r="T24" s="20">
        <f>+T12+T21</f>
        <v>5058</v>
      </c>
      <c r="U24" s="21">
        <f>+U12+U21</f>
        <v>34679</v>
      </c>
    </row>
    <row r="25" spans="1:25">
      <c r="A25" s="8" t="s">
        <v>38</v>
      </c>
      <c r="B25" s="22">
        <f>C15/100</f>
        <v>0</v>
      </c>
      <c r="C25" s="14"/>
      <c r="D25" s="15"/>
      <c r="S25" s="4" t="s">
        <v>57</v>
      </c>
      <c r="T25" s="80"/>
      <c r="U25" s="80">
        <v>0.5</v>
      </c>
    </row>
    <row r="26" spans="1:25">
      <c r="A26" s="3" t="s">
        <v>7</v>
      </c>
      <c r="B26" s="22">
        <f>C18/100</f>
        <v>0.16</v>
      </c>
      <c r="C26" s="14"/>
      <c r="D26" s="15"/>
      <c r="S26" s="4" t="s">
        <v>58</v>
      </c>
      <c r="T26" s="80"/>
      <c r="U26" s="80"/>
    </row>
  </sheetData>
  <mergeCells count="26">
    <mergeCell ref="E23:G23"/>
    <mergeCell ref="G3:G5"/>
    <mergeCell ref="A6:A8"/>
    <mergeCell ref="C6:C8"/>
    <mergeCell ref="G6:G8"/>
    <mergeCell ref="E22:G22"/>
    <mergeCell ref="A18:A20"/>
    <mergeCell ref="C18:C20"/>
    <mergeCell ref="G18:G20"/>
    <mergeCell ref="D3:D5"/>
    <mergeCell ref="D6:D8"/>
    <mergeCell ref="D12:D14"/>
    <mergeCell ref="D15:D17"/>
    <mergeCell ref="D18:D20"/>
    <mergeCell ref="A12:A14"/>
    <mergeCell ref="C12:C14"/>
    <mergeCell ref="G12:G14"/>
    <mergeCell ref="A15:A17"/>
    <mergeCell ref="C15:C17"/>
    <mergeCell ref="G15:G17"/>
    <mergeCell ref="A3:A5"/>
    <mergeCell ref="C3:C5"/>
    <mergeCell ref="A9:A11"/>
    <mergeCell ref="C9:C11"/>
    <mergeCell ref="D9:D11"/>
    <mergeCell ref="G9:G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6"/>
  <sheetViews>
    <sheetView workbookViewId="0">
      <selection activeCell="A25" sqref="A25:D25"/>
    </sheetView>
  </sheetViews>
  <sheetFormatPr defaultRowHeight="13.2"/>
  <cols>
    <col min="1" max="1" width="16.77734375" customWidth="1"/>
    <col min="2" max="2" width="6.77734375" style="1" customWidth="1"/>
    <col min="3" max="3" width="5.77734375" style="1" customWidth="1"/>
    <col min="4" max="4" width="6.77734375" style="1" customWidth="1"/>
    <col min="5" max="6" width="5.77734375" style="1" customWidth="1"/>
    <col min="7" max="17" width="3.77734375" customWidth="1"/>
    <col min="18" max="18" width="2.77734375" customWidth="1"/>
    <col min="19" max="19" width="24" bestFit="1" customWidth="1"/>
    <col min="20" max="20" width="6.5546875" bestFit="1" customWidth="1"/>
    <col min="21" max="21" width="7.5546875" bestFit="1" customWidth="1"/>
    <col min="22" max="22" width="2.77734375" customWidth="1"/>
    <col min="23" max="23" width="24.88671875" bestFit="1" customWidth="1"/>
    <col min="24" max="24" width="6.5546875" bestFit="1" customWidth="1"/>
    <col min="25" max="25" width="7.5546875" bestFit="1" customWidth="1"/>
    <col min="26" max="37" width="5.77734375" customWidth="1"/>
  </cols>
  <sheetData>
    <row r="1" spans="1:25" ht="13.8" thickBot="1">
      <c r="A1" t="s">
        <v>20</v>
      </c>
      <c r="B1" s="16">
        <v>50688</v>
      </c>
      <c r="S1" s="17" t="s">
        <v>21</v>
      </c>
      <c r="T1" s="3" t="s">
        <v>22</v>
      </c>
      <c r="U1" s="3" t="s">
        <v>23</v>
      </c>
      <c r="W1" s="17" t="s">
        <v>127</v>
      </c>
      <c r="X1" s="3" t="s">
        <v>22</v>
      </c>
      <c r="Y1" s="3" t="s">
        <v>23</v>
      </c>
    </row>
    <row r="2" spans="1:25" s="1" customFormat="1" ht="13.8" thickBot="1">
      <c r="A2" s="5" t="s">
        <v>9</v>
      </c>
      <c r="B2" s="5" t="s">
        <v>13</v>
      </c>
      <c r="C2" s="5" t="s">
        <v>14</v>
      </c>
      <c r="D2" s="5" t="s">
        <v>19</v>
      </c>
      <c r="E2" s="5" t="s">
        <v>16</v>
      </c>
      <c r="F2" s="5" t="s">
        <v>15</v>
      </c>
      <c r="G2" s="66" t="s">
        <v>126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  <c r="O2" s="5">
        <v>8</v>
      </c>
      <c r="P2" s="5">
        <v>9</v>
      </c>
      <c r="Q2" s="65">
        <v>10</v>
      </c>
      <c r="S2" s="78" t="s">
        <v>51</v>
      </c>
      <c r="T2" s="79">
        <v>103</v>
      </c>
      <c r="U2" s="79">
        <v>2721</v>
      </c>
      <c r="W2" s="78"/>
      <c r="X2" s="79"/>
      <c r="Y2" s="79"/>
    </row>
    <row r="3" spans="1:25">
      <c r="A3" s="97" t="s">
        <v>1</v>
      </c>
      <c r="B3" s="10" t="s">
        <v>2</v>
      </c>
      <c r="C3" s="90">
        <f>SUM(E3:E5)+SUM(E12:E14)+D3</f>
        <v>133</v>
      </c>
      <c r="D3" s="90">
        <f>IF(G3="",0,11+(G3-1)*1)</f>
        <v>30</v>
      </c>
      <c r="E3" s="11">
        <f>(6.5*F3)+(H3+I3+J3+K3+L3+M3+N3+O3+P3+Q3-F3)*0.5</f>
        <v>79.5</v>
      </c>
      <c r="F3" s="10">
        <f t="shared" ref="F3:F20" si="0">COUNT(H3:Q3)</f>
        <v>6</v>
      </c>
      <c r="G3" s="91">
        <v>20</v>
      </c>
      <c r="H3" s="68">
        <v>21</v>
      </c>
      <c r="I3" s="68"/>
      <c r="J3" s="68">
        <v>20</v>
      </c>
      <c r="K3" s="68"/>
      <c r="L3" s="68">
        <v>13</v>
      </c>
      <c r="M3" s="68">
        <v>11</v>
      </c>
      <c r="N3" s="68">
        <v>11</v>
      </c>
      <c r="O3" s="68">
        <v>11</v>
      </c>
      <c r="P3" s="68"/>
      <c r="Q3" s="69"/>
      <c r="S3" s="78" t="s">
        <v>118</v>
      </c>
      <c r="T3" s="79">
        <v>244</v>
      </c>
      <c r="U3" s="79">
        <v>2713</v>
      </c>
      <c r="W3" s="78"/>
      <c r="X3" s="79"/>
      <c r="Y3" s="79"/>
    </row>
    <row r="4" spans="1:25">
      <c r="A4" s="95"/>
      <c r="B4" s="2" t="s">
        <v>3</v>
      </c>
      <c r="C4" s="86"/>
      <c r="D4" s="88"/>
      <c r="E4" s="7">
        <f>(3.5*F4)+(H4+I4+J4+K4+L4+M4+N4+O4+P4+Q4-F4)*0.5</f>
        <v>8.5</v>
      </c>
      <c r="F4" s="2">
        <f t="shared" si="0"/>
        <v>1</v>
      </c>
      <c r="G4" s="92"/>
      <c r="H4" s="71"/>
      <c r="I4" s="71"/>
      <c r="J4" s="71"/>
      <c r="K4" s="71"/>
      <c r="L4" s="71"/>
      <c r="M4" s="71"/>
      <c r="N4" s="71"/>
      <c r="O4" s="71"/>
      <c r="P4" s="71">
        <v>11</v>
      </c>
      <c r="Q4" s="72"/>
      <c r="S4" s="78" t="s">
        <v>52</v>
      </c>
      <c r="T4" s="79">
        <v>125</v>
      </c>
      <c r="U4" s="79">
        <v>2718</v>
      </c>
      <c r="W4" s="78"/>
      <c r="X4" s="79"/>
      <c r="Y4" s="79"/>
    </row>
    <row r="5" spans="1:25" ht="13.8" thickBot="1">
      <c r="A5" s="96"/>
      <c r="B5" s="12" t="s">
        <v>4</v>
      </c>
      <c r="C5" s="87"/>
      <c r="D5" s="89"/>
      <c r="E5" s="13">
        <f>(0.5*F5)+(H5+I5+J5+K5+L5+M5+N5+O5+P5+Q5-F5)*0.5</f>
        <v>0</v>
      </c>
      <c r="F5" s="12">
        <f t="shared" si="0"/>
        <v>0</v>
      </c>
      <c r="G5" s="93"/>
      <c r="H5" s="74"/>
      <c r="I5" s="74"/>
      <c r="J5" s="74"/>
      <c r="K5" s="74"/>
      <c r="L5" s="74"/>
      <c r="M5" s="74"/>
      <c r="N5" s="74"/>
      <c r="O5" s="74"/>
      <c r="P5" s="74"/>
      <c r="Q5" s="75"/>
      <c r="S5" s="78" t="s">
        <v>53</v>
      </c>
      <c r="T5" s="79">
        <v>59</v>
      </c>
      <c r="U5" s="79">
        <v>1944</v>
      </c>
      <c r="W5" s="78"/>
      <c r="X5" s="79"/>
      <c r="Y5" s="79"/>
    </row>
    <row r="6" spans="1:25">
      <c r="A6" s="94" t="s">
        <v>5</v>
      </c>
      <c r="B6" s="6" t="s">
        <v>2</v>
      </c>
      <c r="C6" s="88">
        <f>SUM(E6:E8)+D6</f>
        <v>26</v>
      </c>
      <c r="D6" s="88">
        <f>IF(G6="",0,11+(G6-1)*1)</f>
        <v>0</v>
      </c>
      <c r="E6" s="9">
        <f>(6.5*F6)+(H6+I6+J6+K6+L6+M6+N6+O6+P6+Q6-F6)*0.5</f>
        <v>16</v>
      </c>
      <c r="F6" s="6">
        <f t="shared" si="0"/>
        <v>1</v>
      </c>
      <c r="G6" s="91"/>
      <c r="H6" s="76"/>
      <c r="I6" s="76"/>
      <c r="J6" s="76"/>
      <c r="K6" s="76">
        <v>20</v>
      </c>
      <c r="L6" s="76"/>
      <c r="M6" s="76"/>
      <c r="N6" s="76"/>
      <c r="O6" s="76"/>
      <c r="P6" s="76"/>
      <c r="Q6" s="69"/>
      <c r="S6" s="78" t="s">
        <v>54</v>
      </c>
      <c r="T6" s="79">
        <v>120</v>
      </c>
      <c r="U6" s="79">
        <v>2184</v>
      </c>
      <c r="W6" s="78"/>
      <c r="X6" s="79"/>
      <c r="Y6" s="79"/>
    </row>
    <row r="7" spans="1:25">
      <c r="A7" s="95"/>
      <c r="B7" s="2" t="s">
        <v>3</v>
      </c>
      <c r="C7" s="86"/>
      <c r="D7" s="88"/>
      <c r="E7" s="7">
        <f>(3.5*F7)+(H7+I7+J7+K7+L7+M7+N7+O7+P7+Q7-F7)*0.5</f>
        <v>0</v>
      </c>
      <c r="F7" s="2">
        <f t="shared" si="0"/>
        <v>0</v>
      </c>
      <c r="G7" s="92"/>
      <c r="H7" s="71"/>
      <c r="I7" s="71"/>
      <c r="J7" s="71"/>
      <c r="K7" s="71"/>
      <c r="L7" s="71"/>
      <c r="M7" s="71"/>
      <c r="N7" s="71"/>
      <c r="O7" s="71"/>
      <c r="P7" s="71"/>
      <c r="Q7" s="72"/>
      <c r="S7" s="78" t="s">
        <v>55</v>
      </c>
      <c r="T7" s="79">
        <v>98</v>
      </c>
      <c r="U7" s="79">
        <v>1154</v>
      </c>
      <c r="W7" s="78"/>
      <c r="X7" s="79"/>
      <c r="Y7" s="79"/>
    </row>
    <row r="8" spans="1:25" ht="13.8" thickBot="1">
      <c r="A8" s="96"/>
      <c r="B8" s="12" t="s">
        <v>4</v>
      </c>
      <c r="C8" s="87"/>
      <c r="D8" s="89"/>
      <c r="E8" s="13">
        <f>(0.5*F8)+(H8+I8+J8+K8+L8+M8+N8+O8+P8+Q8-F8)*0.5</f>
        <v>10</v>
      </c>
      <c r="F8" s="12">
        <f t="shared" si="0"/>
        <v>1</v>
      </c>
      <c r="G8" s="93"/>
      <c r="H8" s="74"/>
      <c r="I8" s="74"/>
      <c r="J8" s="74">
        <v>20</v>
      </c>
      <c r="K8" s="74"/>
      <c r="L8" s="74"/>
      <c r="M8" s="74"/>
      <c r="N8" s="74"/>
      <c r="O8" s="74"/>
      <c r="P8" s="74"/>
      <c r="Q8" s="75"/>
      <c r="S8" s="78" t="s">
        <v>110</v>
      </c>
      <c r="T8" s="79">
        <v>96</v>
      </c>
      <c r="U8" s="79">
        <v>2394</v>
      </c>
      <c r="W8" s="78"/>
      <c r="X8" s="79"/>
      <c r="Y8" s="79"/>
    </row>
    <row r="9" spans="1:25">
      <c r="A9" s="98" t="s">
        <v>122</v>
      </c>
      <c r="B9" s="6" t="s">
        <v>2</v>
      </c>
      <c r="C9" s="99">
        <f>SUM(E9:E11)</f>
        <v>0</v>
      </c>
      <c r="D9" s="88" t="s">
        <v>18</v>
      </c>
      <c r="E9" s="48">
        <f>IF(H9="",0,(16+H9*0.2)^0.75-(16+H9*0.2)^0.5)+IF(I9="",0,(16+I9*0.2)^0.75-(16+I9*0.2)^0.5)+IF(J9="",0,(16+J9*0.2)^0.75-(16+J9*0.2)^0.5)+IF(K9="",0,(16+K9*0.2)^0.75-(16+K9*0.2)^0.5)+IF(L9="",0,(16+L9*0.2)^0.75-(16+L9*0.2)^0.5)+IF(M9="",0,(16+M9*0.2)^0.75-(16+M9*0.2)^0.5)+IF(N9="",0,(16+N9*0.2)^0.75-(16+N9*0.2)^0.5)+IF(O9="",0,(16+O9*0.2)^0.75-(16+O9*0.2)^0.5)+IF(P9="",0,(16+P9*0.2)^0.75-(16+P9*0.2)^0.5)+IF(Q9="",0,(16+Q9*0.2)^0.75-(16+Q9*0.2)^0.5)</f>
        <v>0</v>
      </c>
      <c r="F9" s="6">
        <f t="shared" si="0"/>
        <v>0</v>
      </c>
      <c r="G9" s="86"/>
      <c r="H9" s="76"/>
      <c r="I9" s="76"/>
      <c r="J9" s="76"/>
      <c r="K9" s="76"/>
      <c r="L9" s="76"/>
      <c r="M9" s="76"/>
      <c r="N9" s="76"/>
      <c r="O9" s="76"/>
      <c r="P9" s="76"/>
      <c r="Q9" s="77"/>
      <c r="S9" s="78" t="s">
        <v>56</v>
      </c>
      <c r="T9" s="79">
        <v>182</v>
      </c>
      <c r="U9" s="79">
        <v>2040</v>
      </c>
      <c r="W9" s="78"/>
      <c r="X9" s="79"/>
      <c r="Y9" s="79"/>
    </row>
    <row r="10" spans="1:25">
      <c r="A10" s="95"/>
      <c r="B10" s="3" t="s">
        <v>3</v>
      </c>
      <c r="C10" s="99"/>
      <c r="D10" s="88"/>
      <c r="E10" s="50">
        <f>IF(H10="",0,(12+H10*0.2)^0.75-(12+H10*0.2)^0.5)+IF(I10="",0,(12+I10*0.2)^0.75-(12+I10*0.2)^0.5)+IF(J10="",0,(12+J10*0.2)^0.75-(12+J10*0.2)^0.5)+IF(K10="",0,(12+K10*0.2)^0.75-(12+K10*0.2)^0.5)+IF(L10="",0,(12+L10*0.2)^0.75-(12+L10*0.2)^0.5)+IF(M10="",0,(12+M10*0.2)^0.75-(12+M10*0.2)^0.5)+IF(N10="",0,(12+N10*0.2)^0.75-(12+N10*0.2)^0.5)+IF(O10="",0,(12+O10*0.2)^0.75-(12+O10*0.2)^0.5)+IF(P10="",0,(12+P10*0.2)^0.75-(12+P10*0.2)^0.5)+IF(Q10="",0,(12+Q10*0.2)^0.75-(12+Q10*0.2)^0.5)</f>
        <v>0</v>
      </c>
      <c r="F10" s="3">
        <f t="shared" si="0"/>
        <v>0</v>
      </c>
      <c r="G10" s="86"/>
      <c r="H10" s="71"/>
      <c r="I10" s="71"/>
      <c r="J10" s="71"/>
      <c r="K10" s="71"/>
      <c r="L10" s="71"/>
      <c r="M10" s="71"/>
      <c r="N10" s="71"/>
      <c r="O10" s="71"/>
      <c r="P10" s="71"/>
      <c r="Q10" s="72"/>
      <c r="S10" s="78" t="s">
        <v>109</v>
      </c>
      <c r="T10" s="79">
        <v>104</v>
      </c>
      <c r="U10" s="79">
        <v>1136</v>
      </c>
      <c r="W10" s="78"/>
      <c r="X10" s="79"/>
      <c r="Y10" s="79"/>
    </row>
    <row r="11" spans="1:25" ht="13.8" thickBot="1">
      <c r="A11" s="96"/>
      <c r="B11" s="12" t="s">
        <v>4</v>
      </c>
      <c r="C11" s="100"/>
      <c r="D11" s="89"/>
      <c r="E11" s="49">
        <f>IF(H11="",0,(8+H11*0.2)^0.75-(8+H11*0.2)^0.5)+IF(I11="",0,(8+I11*0.2)^0.75-(8+I11*0.2)^0.5)+IF(J11="",0,(8+J11*0.2)^0.75-(8+J11*0.2)^0.5)+IF(K11="",0,(8+K11*0.2)^0.75-(8+K11*0.2)^0.5)+IF(L11="",0,(8+L11*0.2)^0.75-(8+L11*0.2)^0.5)+IF(M11="",0,(8+M11*0.2)^0.75-(8+M11*0.2)^0.5)+IF(N11="",0,(8+N11*0.2)^0.75-(8+N11*0.2)^0.5)+IF(O11="",0,(8+O11*0.2)^0.75-(8+O11*0.2)^0.5)+IF(P11="",0,(8+P11*0.2)^0.75-(8+P11*0.2)^0.5)+IF(Q11="",0,(8+Q11*0.2)^0.75-(8+Q11*0.2)^0.5)</f>
        <v>0</v>
      </c>
      <c r="F11" s="12">
        <f t="shared" si="0"/>
        <v>0</v>
      </c>
      <c r="G11" s="87"/>
      <c r="H11" s="74"/>
      <c r="I11" s="74"/>
      <c r="J11" s="74"/>
      <c r="K11" s="74"/>
      <c r="L11" s="74"/>
      <c r="M11" s="74"/>
      <c r="N11" s="74"/>
      <c r="O11" s="74"/>
      <c r="P11" s="74"/>
      <c r="Q11" s="75"/>
      <c r="S11" s="81" t="s">
        <v>120</v>
      </c>
      <c r="T11" s="82">
        <v>72</v>
      </c>
      <c r="U11" s="82">
        <v>1890</v>
      </c>
      <c r="W11" s="78"/>
      <c r="X11" s="79"/>
      <c r="Y11" s="79"/>
    </row>
    <row r="12" spans="1:25" ht="13.8" thickBot="1">
      <c r="A12" s="94" t="s">
        <v>6</v>
      </c>
      <c r="B12" s="6" t="s">
        <v>2</v>
      </c>
      <c r="C12" s="88" t="s">
        <v>18</v>
      </c>
      <c r="D12" s="88" t="s">
        <v>18</v>
      </c>
      <c r="E12" s="9">
        <f>(0.5*F12)+(H12+I12+J12+K12+L12+M12+N12+O12+P12+Q12-F12)*0.5</f>
        <v>15</v>
      </c>
      <c r="F12" s="6">
        <f t="shared" si="0"/>
        <v>1</v>
      </c>
      <c r="G12" s="86"/>
      <c r="H12" s="76"/>
      <c r="I12" s="76">
        <v>30</v>
      </c>
      <c r="J12" s="76"/>
      <c r="K12" s="76"/>
      <c r="L12" s="76"/>
      <c r="M12" s="76"/>
      <c r="N12" s="76"/>
      <c r="O12" s="76"/>
      <c r="P12" s="76"/>
      <c r="Q12" s="77"/>
      <c r="S12" s="19" t="s">
        <v>30</v>
      </c>
      <c r="T12" s="20">
        <f>SUM(T2:T11)</f>
        <v>1203</v>
      </c>
      <c r="U12" s="21">
        <f>SUM(U2:U11)</f>
        <v>20894</v>
      </c>
      <c r="W12" s="78"/>
      <c r="X12" s="83"/>
      <c r="Y12" s="83"/>
    </row>
    <row r="13" spans="1:25">
      <c r="A13" s="95"/>
      <c r="B13" s="2" t="s">
        <v>3</v>
      </c>
      <c r="C13" s="86"/>
      <c r="D13" s="88"/>
      <c r="E13" s="7">
        <f>(0.5*F13)+(H13+I13+J13+K13+L13+M13+N13+O13+P13+Q13-F13)*0.5</f>
        <v>0</v>
      </c>
      <c r="F13" s="2">
        <f t="shared" si="0"/>
        <v>0</v>
      </c>
      <c r="G13" s="86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1:25" ht="13.8" thickBot="1">
      <c r="A14" s="96"/>
      <c r="B14" s="12" t="s">
        <v>4</v>
      </c>
      <c r="C14" s="87"/>
      <c r="D14" s="89"/>
      <c r="E14" s="13">
        <f>(0.35*F14)+(H14+I14+J14+K14+L14+M14+N14+O14+P14+Q14-F14)*0.35</f>
        <v>0</v>
      </c>
      <c r="F14" s="12">
        <f t="shared" si="0"/>
        <v>0</v>
      </c>
      <c r="G14" s="87"/>
      <c r="H14" s="74"/>
      <c r="I14" s="74"/>
      <c r="J14" s="74"/>
      <c r="K14" s="74"/>
      <c r="L14" s="74"/>
      <c r="M14" s="74"/>
      <c r="N14" s="74"/>
      <c r="O14" s="74"/>
      <c r="P14" s="74"/>
      <c r="Q14" s="75"/>
      <c r="S14" s="17" t="s">
        <v>31</v>
      </c>
      <c r="T14" s="3" t="s">
        <v>22</v>
      </c>
      <c r="U14" s="3" t="s">
        <v>23</v>
      </c>
      <c r="W14" s="17" t="s">
        <v>128</v>
      </c>
      <c r="X14" s="3" t="s">
        <v>22</v>
      </c>
      <c r="Y14" s="3" t="s">
        <v>23</v>
      </c>
    </row>
    <row r="15" spans="1:25">
      <c r="A15" s="98" t="s">
        <v>17</v>
      </c>
      <c r="B15" s="6" t="s">
        <v>2</v>
      </c>
      <c r="C15" s="88">
        <f>SUM(E15:E17)</f>
        <v>51</v>
      </c>
      <c r="D15" s="88" t="s">
        <v>18</v>
      </c>
      <c r="E15" s="9"/>
      <c r="F15" s="6">
        <f t="shared" si="0"/>
        <v>0</v>
      </c>
      <c r="G15" s="86"/>
      <c r="H15" s="76"/>
      <c r="I15" s="76"/>
      <c r="J15" s="76"/>
      <c r="K15" s="76"/>
      <c r="L15" s="76"/>
      <c r="M15" s="76"/>
      <c r="N15" s="76"/>
      <c r="O15" s="76"/>
      <c r="P15" s="76"/>
      <c r="Q15" s="77"/>
      <c r="S15" s="78" t="s">
        <v>50</v>
      </c>
      <c r="T15" s="79">
        <v>312</v>
      </c>
      <c r="U15" s="79">
        <v>1116</v>
      </c>
      <c r="W15" s="81" t="s">
        <v>115</v>
      </c>
      <c r="X15" s="82">
        <v>600</v>
      </c>
      <c r="Y15" s="82">
        <v>2130</v>
      </c>
    </row>
    <row r="16" spans="1:25">
      <c r="A16" s="95"/>
      <c r="B16" s="2" t="s">
        <v>3</v>
      </c>
      <c r="C16" s="86"/>
      <c r="D16" s="88"/>
      <c r="E16" s="7">
        <f>(11*F16)+(H16+I16+J16+K16+L16+M16+N16+O16+P16+Q16-F16)*1</f>
        <v>0</v>
      </c>
      <c r="F16" s="2">
        <f t="shared" si="0"/>
        <v>0</v>
      </c>
      <c r="G16" s="86"/>
      <c r="H16" s="71"/>
      <c r="I16" s="71"/>
      <c r="J16" s="71"/>
      <c r="K16" s="71"/>
      <c r="L16" s="71"/>
      <c r="M16" s="71"/>
      <c r="N16" s="71"/>
      <c r="O16" s="71"/>
      <c r="P16" s="71"/>
      <c r="Q16" s="72"/>
      <c r="S16" s="78" t="s">
        <v>33</v>
      </c>
      <c r="T16" s="79">
        <v>615</v>
      </c>
      <c r="U16" s="79">
        <v>2559</v>
      </c>
      <c r="W16" s="78"/>
      <c r="X16" s="79"/>
      <c r="Y16" s="79"/>
    </row>
    <row r="17" spans="1:25" ht="13.8" thickBot="1">
      <c r="A17" s="96"/>
      <c r="B17" s="12" t="s">
        <v>4</v>
      </c>
      <c r="C17" s="87"/>
      <c r="D17" s="89"/>
      <c r="E17" s="13">
        <f>(1*F17)+(H17+I17+J17+K17+L17+M17+N17+O17+P17+Q17-F17)*1</f>
        <v>51</v>
      </c>
      <c r="F17" s="12">
        <f t="shared" si="0"/>
        <v>2</v>
      </c>
      <c r="G17" s="87"/>
      <c r="H17" s="74">
        <v>21</v>
      </c>
      <c r="I17" s="74">
        <v>30</v>
      </c>
      <c r="J17" s="74"/>
      <c r="K17" s="74"/>
      <c r="L17" s="74"/>
      <c r="M17" s="74"/>
      <c r="N17" s="74"/>
      <c r="O17" s="74"/>
      <c r="P17" s="74"/>
      <c r="Q17" s="75"/>
      <c r="S17" s="78" t="s">
        <v>34</v>
      </c>
      <c r="T17" s="79">
        <v>723</v>
      </c>
      <c r="U17" s="79">
        <v>2301</v>
      </c>
      <c r="W17" s="78"/>
      <c r="X17" s="79"/>
      <c r="Y17" s="79"/>
    </row>
    <row r="18" spans="1:25">
      <c r="A18" s="94" t="s">
        <v>7</v>
      </c>
      <c r="B18" s="6" t="s">
        <v>2</v>
      </c>
      <c r="C18" s="88">
        <f>SUM(E18:E20)</f>
        <v>0</v>
      </c>
      <c r="D18" s="88" t="s">
        <v>18</v>
      </c>
      <c r="E18" s="9">
        <f>(11*F18)+(H18+I18+J18+K18+L18+M18+N18+O18+P18+Q18-F18)*1</f>
        <v>0</v>
      </c>
      <c r="F18" s="6">
        <f t="shared" si="0"/>
        <v>0</v>
      </c>
      <c r="G18" s="86"/>
      <c r="H18" s="76"/>
      <c r="I18" s="76"/>
      <c r="J18" s="76"/>
      <c r="K18" s="76"/>
      <c r="L18" s="76"/>
      <c r="M18" s="76"/>
      <c r="N18" s="76"/>
      <c r="O18" s="76"/>
      <c r="P18" s="76"/>
      <c r="Q18" s="77"/>
      <c r="S18" s="78" t="s">
        <v>32</v>
      </c>
      <c r="T18" s="79">
        <v>657</v>
      </c>
      <c r="U18" s="79">
        <v>2355</v>
      </c>
      <c r="W18" s="78"/>
      <c r="X18" s="79"/>
      <c r="Y18" s="79"/>
    </row>
    <row r="19" spans="1:25">
      <c r="A19" s="95"/>
      <c r="B19" s="2" t="s">
        <v>3</v>
      </c>
      <c r="C19" s="86"/>
      <c r="D19" s="88"/>
      <c r="E19" s="7">
        <f>(8*F19)+(H19+I19+J19+K19+L19+M19+N19+O19+P19+Q19-F19)*1</f>
        <v>0</v>
      </c>
      <c r="F19" s="2">
        <f t="shared" si="0"/>
        <v>0</v>
      </c>
      <c r="G19" s="86"/>
      <c r="H19" s="71"/>
      <c r="I19" s="71"/>
      <c r="J19" s="71"/>
      <c r="K19" s="71"/>
      <c r="L19" s="71"/>
      <c r="M19" s="71"/>
      <c r="N19" s="71"/>
      <c r="O19" s="71"/>
      <c r="P19" s="71"/>
      <c r="Q19" s="72"/>
      <c r="S19" s="78" t="s">
        <v>35</v>
      </c>
      <c r="T19" s="79">
        <v>806</v>
      </c>
      <c r="U19" s="79">
        <v>2142</v>
      </c>
      <c r="W19" s="78"/>
      <c r="X19" s="79"/>
      <c r="Y19" s="79"/>
    </row>
    <row r="20" spans="1:25" ht="13.8" thickBot="1">
      <c r="A20" s="96"/>
      <c r="B20" s="12" t="s">
        <v>4</v>
      </c>
      <c r="C20" s="87"/>
      <c r="D20" s="89"/>
      <c r="E20" s="13">
        <f>(5*F20)+(H20+I20+J20+K20+L20+M20+N20+O20+P20+Q20-F20)*1</f>
        <v>0</v>
      </c>
      <c r="F20" s="12">
        <f t="shared" si="0"/>
        <v>0</v>
      </c>
      <c r="G20" s="87"/>
      <c r="H20" s="74"/>
      <c r="I20" s="74"/>
      <c r="J20" s="74"/>
      <c r="K20" s="74"/>
      <c r="L20" s="74"/>
      <c r="M20" s="74"/>
      <c r="N20" s="74"/>
      <c r="O20" s="74"/>
      <c r="P20" s="74"/>
      <c r="Q20" s="75"/>
      <c r="S20" s="78" t="s">
        <v>36</v>
      </c>
      <c r="T20" s="79">
        <v>759</v>
      </c>
      <c r="U20" s="79">
        <v>2187</v>
      </c>
      <c r="W20" s="78"/>
      <c r="X20" s="79"/>
      <c r="Y20" s="79"/>
    </row>
    <row r="21" spans="1:25" ht="13.8" thickBot="1">
      <c r="S21" s="19" t="s">
        <v>30</v>
      </c>
      <c r="T21" s="20">
        <f>SUM(T15:T20)</f>
        <v>3872</v>
      </c>
      <c r="U21" s="21">
        <f>SUM(U15:U20)</f>
        <v>12660</v>
      </c>
    </row>
    <row r="22" spans="1:25">
      <c r="A22" s="47" t="s">
        <v>1</v>
      </c>
      <c r="B22" s="23">
        <f>C3/100</f>
        <v>1.33</v>
      </c>
      <c r="C22" s="14"/>
      <c r="D22" s="15"/>
      <c r="E22" s="84">
        <f>U$24*(B22+1)*(U25+1)*(U26+1)*IF(B24=0,1,B24+1)</f>
        <v>117271.23000000001</v>
      </c>
      <c r="F22" s="85"/>
      <c r="G22" s="85"/>
    </row>
    <row r="23" spans="1:25" ht="13.8" thickBot="1">
      <c r="A23" s="52" t="s">
        <v>5</v>
      </c>
      <c r="B23" s="53">
        <f>C6/100</f>
        <v>0.26</v>
      </c>
      <c r="C23" s="54"/>
      <c r="D23" s="55"/>
      <c r="E23" s="84">
        <f>T$24*(B23+1)*(T25+1)*(T26+1)</f>
        <v>6394.5</v>
      </c>
      <c r="F23" s="85"/>
      <c r="G23" s="85"/>
      <c r="T23" s="3" t="s">
        <v>22</v>
      </c>
      <c r="U23" s="3" t="s">
        <v>23</v>
      </c>
    </row>
    <row r="24" spans="1:25" ht="13.8" thickBot="1">
      <c r="A24" s="56" t="s">
        <v>123</v>
      </c>
      <c r="B24" s="24">
        <f>C9/100</f>
        <v>0</v>
      </c>
      <c r="C24" s="14"/>
      <c r="D24" s="15"/>
      <c r="E24" s="51"/>
      <c r="S24" s="19" t="s">
        <v>39</v>
      </c>
      <c r="T24" s="20">
        <f>+T12+T21</f>
        <v>5075</v>
      </c>
      <c r="U24" s="21">
        <f>+U12+U21</f>
        <v>33554</v>
      </c>
    </row>
    <row r="25" spans="1:25">
      <c r="A25" s="8" t="s">
        <v>38</v>
      </c>
      <c r="B25" s="22">
        <f>C15/100</f>
        <v>0.51</v>
      </c>
      <c r="C25" s="14"/>
      <c r="D25" s="15"/>
      <c r="S25" s="4" t="s">
        <v>57</v>
      </c>
      <c r="T25" s="80"/>
      <c r="U25" s="80">
        <v>0.5</v>
      </c>
    </row>
    <row r="26" spans="1:25">
      <c r="A26" s="3" t="s">
        <v>7</v>
      </c>
      <c r="B26" s="22">
        <f>C18/100</f>
        <v>0</v>
      </c>
      <c r="C26" s="14"/>
      <c r="D26" s="15"/>
      <c r="S26" s="4" t="s">
        <v>58</v>
      </c>
      <c r="T26" s="80"/>
      <c r="U26" s="80"/>
    </row>
  </sheetData>
  <mergeCells count="26">
    <mergeCell ref="E23:G23"/>
    <mergeCell ref="G3:G5"/>
    <mergeCell ref="A6:A8"/>
    <mergeCell ref="C6:C8"/>
    <mergeCell ref="G6:G8"/>
    <mergeCell ref="E22:G22"/>
    <mergeCell ref="A18:A20"/>
    <mergeCell ref="C18:C20"/>
    <mergeCell ref="G18:G20"/>
    <mergeCell ref="D3:D5"/>
    <mergeCell ref="D6:D8"/>
    <mergeCell ref="D12:D14"/>
    <mergeCell ref="D15:D17"/>
    <mergeCell ref="D18:D20"/>
    <mergeCell ref="A12:A14"/>
    <mergeCell ref="C12:C14"/>
    <mergeCell ref="G12:G14"/>
    <mergeCell ref="A15:A17"/>
    <mergeCell ref="C15:C17"/>
    <mergeCell ref="G15:G17"/>
    <mergeCell ref="A3:A5"/>
    <mergeCell ref="C3:C5"/>
    <mergeCell ref="A9:A11"/>
    <mergeCell ref="C9:C11"/>
    <mergeCell ref="D9:D11"/>
    <mergeCell ref="G9:G1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6"/>
  <sheetViews>
    <sheetView workbookViewId="0">
      <selection activeCell="A25" sqref="A25:D25"/>
    </sheetView>
  </sheetViews>
  <sheetFormatPr defaultRowHeight="13.2"/>
  <cols>
    <col min="1" max="1" width="16.77734375" customWidth="1"/>
    <col min="2" max="2" width="6.77734375" style="1" customWidth="1"/>
    <col min="3" max="3" width="5.77734375" style="1" customWidth="1"/>
    <col min="4" max="4" width="6.77734375" style="1" customWidth="1"/>
    <col min="5" max="6" width="5.77734375" style="1" customWidth="1"/>
    <col min="7" max="17" width="3.77734375" customWidth="1"/>
    <col min="18" max="18" width="2.77734375" customWidth="1"/>
    <col min="19" max="19" width="24" bestFit="1" customWidth="1"/>
    <col min="20" max="20" width="6.5546875" bestFit="1" customWidth="1"/>
    <col min="21" max="21" width="7.5546875" bestFit="1" customWidth="1"/>
    <col min="22" max="22" width="2.77734375" customWidth="1"/>
    <col min="23" max="23" width="24" bestFit="1" customWidth="1"/>
    <col min="24" max="24" width="6.5546875" bestFit="1" customWidth="1"/>
    <col min="25" max="25" width="7.5546875" bestFit="1" customWidth="1"/>
    <col min="26" max="37" width="5.77734375" customWidth="1"/>
  </cols>
  <sheetData>
    <row r="1" spans="1:25" ht="13.8" thickBot="1">
      <c r="A1" t="s">
        <v>20</v>
      </c>
      <c r="B1" s="16">
        <v>54435</v>
      </c>
      <c r="S1" s="17" t="s">
        <v>21</v>
      </c>
      <c r="T1" s="3" t="s">
        <v>22</v>
      </c>
      <c r="U1" s="3" t="s">
        <v>23</v>
      </c>
      <c r="W1" s="17" t="s">
        <v>127</v>
      </c>
      <c r="X1" s="3" t="s">
        <v>22</v>
      </c>
      <c r="Y1" s="3" t="s">
        <v>23</v>
      </c>
    </row>
    <row r="2" spans="1:25" s="1" customFormat="1" ht="13.8" thickBot="1">
      <c r="A2" s="5" t="s">
        <v>10</v>
      </c>
      <c r="B2" s="5" t="s">
        <v>13</v>
      </c>
      <c r="C2" s="5" t="s">
        <v>14</v>
      </c>
      <c r="D2" s="5" t="s">
        <v>19</v>
      </c>
      <c r="E2" s="5" t="s">
        <v>16</v>
      </c>
      <c r="F2" s="5" t="s">
        <v>15</v>
      </c>
      <c r="G2" s="66" t="s">
        <v>126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  <c r="O2" s="5">
        <v>8</v>
      </c>
      <c r="P2" s="5">
        <v>9</v>
      </c>
      <c r="Q2" s="65">
        <v>10</v>
      </c>
      <c r="S2" s="78" t="s">
        <v>59</v>
      </c>
      <c r="T2" s="79">
        <v>230</v>
      </c>
      <c r="U2" s="79">
        <v>2172</v>
      </c>
      <c r="W2" s="78"/>
      <c r="X2" s="79"/>
      <c r="Y2" s="79"/>
    </row>
    <row r="3" spans="1:25">
      <c r="A3" s="97" t="s">
        <v>1</v>
      </c>
      <c r="B3" s="10" t="s">
        <v>2</v>
      </c>
      <c r="C3" s="90">
        <f>SUM(E3:E5)+SUM(E12:E14)+D3</f>
        <v>127.7</v>
      </c>
      <c r="D3" s="90">
        <f>IF(G3="",0,11+(G3-1)*1)</f>
        <v>30</v>
      </c>
      <c r="E3" s="11">
        <f>(6.5*F3)+(H3+I3+J3+K3+L3+M3+N3+O3+P3+Q3-F3)*0.5</f>
        <v>56.5</v>
      </c>
      <c r="F3" s="10">
        <f t="shared" ref="F3:F20" si="0">COUNT(H3:Q3)</f>
        <v>4</v>
      </c>
      <c r="G3" s="91">
        <v>20</v>
      </c>
      <c r="H3" s="68"/>
      <c r="I3" s="68"/>
      <c r="J3" s="68">
        <v>21</v>
      </c>
      <c r="K3" s="68">
        <v>18</v>
      </c>
      <c r="L3" s="68">
        <v>15</v>
      </c>
      <c r="M3" s="68"/>
      <c r="N3" s="68"/>
      <c r="O3" s="68"/>
      <c r="P3" s="68">
        <v>11</v>
      </c>
      <c r="Q3" s="69"/>
      <c r="S3" s="78" t="s">
        <v>60</v>
      </c>
      <c r="T3" s="79">
        <v>158</v>
      </c>
      <c r="U3" s="79">
        <v>2738</v>
      </c>
      <c r="W3" s="78"/>
      <c r="X3" s="79"/>
      <c r="Y3" s="79"/>
    </row>
    <row r="4" spans="1:25">
      <c r="A4" s="95"/>
      <c r="B4" s="2" t="s">
        <v>3</v>
      </c>
      <c r="C4" s="86"/>
      <c r="D4" s="88"/>
      <c r="E4" s="7">
        <f>(3.5*F4)+(H4+I4+J4+K4+L4+M4+N4+O4+P4+Q4-F4)*0.5</f>
        <v>8.5</v>
      </c>
      <c r="F4" s="2">
        <f t="shared" si="0"/>
        <v>1</v>
      </c>
      <c r="G4" s="92"/>
      <c r="H4" s="71"/>
      <c r="I4" s="71"/>
      <c r="J4" s="71"/>
      <c r="K4" s="71"/>
      <c r="L4" s="71"/>
      <c r="M4" s="71"/>
      <c r="N4" s="71"/>
      <c r="O4" s="71">
        <v>11</v>
      </c>
      <c r="P4" s="71"/>
      <c r="Q4" s="72"/>
      <c r="S4" s="78" t="s">
        <v>60</v>
      </c>
      <c r="T4" s="79">
        <v>118</v>
      </c>
      <c r="U4" s="79">
        <v>2618</v>
      </c>
      <c r="W4" s="78"/>
      <c r="X4" s="79"/>
      <c r="Y4" s="79"/>
    </row>
    <row r="5" spans="1:25" ht="13.8" thickBot="1">
      <c r="A5" s="96"/>
      <c r="B5" s="12" t="s">
        <v>4</v>
      </c>
      <c r="C5" s="87"/>
      <c r="D5" s="89"/>
      <c r="E5" s="13">
        <f>(0.5*F5)+(H5+I5+J5+K5+L5+M5+N5+O5+P5+Q5-F5)*0.5</f>
        <v>0</v>
      </c>
      <c r="F5" s="12">
        <f t="shared" si="0"/>
        <v>0</v>
      </c>
      <c r="G5" s="93"/>
      <c r="H5" s="74"/>
      <c r="I5" s="74"/>
      <c r="J5" s="74"/>
      <c r="K5" s="74"/>
      <c r="L5" s="74"/>
      <c r="M5" s="74"/>
      <c r="N5" s="74"/>
      <c r="O5" s="74"/>
      <c r="P5" s="74"/>
      <c r="Q5" s="75"/>
      <c r="S5" s="78" t="s">
        <v>61</v>
      </c>
      <c r="T5" s="79">
        <v>122</v>
      </c>
      <c r="U5" s="79">
        <v>2709</v>
      </c>
      <c r="W5" s="78"/>
      <c r="X5" s="79"/>
      <c r="Y5" s="79"/>
    </row>
    <row r="6" spans="1:25">
      <c r="A6" s="94" t="s">
        <v>5</v>
      </c>
      <c r="B6" s="6" t="s">
        <v>2</v>
      </c>
      <c r="C6" s="88">
        <f>SUM(E6:E8)+D6</f>
        <v>12</v>
      </c>
      <c r="D6" s="88">
        <f>IF(G6="",0,11+(G6-1)*1)</f>
        <v>0</v>
      </c>
      <c r="E6" s="9">
        <f>(6.5*F6)+(H6+I6+J6+K6+L6+M6+N6+O6+P6+Q6-F6)*0.5</f>
        <v>12</v>
      </c>
      <c r="F6" s="6">
        <f t="shared" si="0"/>
        <v>1</v>
      </c>
      <c r="G6" s="91"/>
      <c r="H6" s="76"/>
      <c r="I6" s="76"/>
      <c r="J6" s="76"/>
      <c r="K6" s="76"/>
      <c r="L6" s="76"/>
      <c r="M6" s="76"/>
      <c r="N6" s="76">
        <v>12</v>
      </c>
      <c r="O6" s="76"/>
      <c r="P6" s="76"/>
      <c r="Q6" s="69"/>
      <c r="S6" s="78" t="s">
        <v>62</v>
      </c>
      <c r="T6" s="79">
        <v>118</v>
      </c>
      <c r="U6" s="79">
        <v>2358</v>
      </c>
      <c r="W6" s="78"/>
      <c r="X6" s="79"/>
      <c r="Y6" s="79"/>
    </row>
    <row r="7" spans="1:25">
      <c r="A7" s="95"/>
      <c r="B7" s="2" t="s">
        <v>3</v>
      </c>
      <c r="C7" s="86"/>
      <c r="D7" s="88"/>
      <c r="E7" s="7">
        <f>(3.5*F7)+(H7+I7+J7+K7+L7+M7+N7+O7+P7+Q7-F7)*0.5</f>
        <v>0</v>
      </c>
      <c r="F7" s="2">
        <f t="shared" si="0"/>
        <v>0</v>
      </c>
      <c r="G7" s="92"/>
      <c r="H7" s="71"/>
      <c r="I7" s="71"/>
      <c r="J7" s="71"/>
      <c r="K7" s="71"/>
      <c r="L7" s="71"/>
      <c r="M7" s="71"/>
      <c r="N7" s="71"/>
      <c r="O7" s="71"/>
      <c r="P7" s="71"/>
      <c r="Q7" s="72"/>
      <c r="S7" s="78" t="s">
        <v>63</v>
      </c>
      <c r="T7" s="79">
        <v>95</v>
      </c>
      <c r="U7" s="79">
        <v>1729</v>
      </c>
      <c r="W7" s="78"/>
      <c r="X7" s="79"/>
      <c r="Y7" s="79"/>
    </row>
    <row r="8" spans="1:25" ht="13.8" thickBot="1">
      <c r="A8" s="96"/>
      <c r="B8" s="12" t="s">
        <v>4</v>
      </c>
      <c r="C8" s="87"/>
      <c r="D8" s="89"/>
      <c r="E8" s="13">
        <f>(0.5*F8)+(H8+I8+J8+K8+L8+M8+N8+O8+P8+Q8-F8)*0.5</f>
        <v>0</v>
      </c>
      <c r="F8" s="12">
        <f t="shared" si="0"/>
        <v>0</v>
      </c>
      <c r="G8" s="93"/>
      <c r="H8" s="74"/>
      <c r="I8" s="74"/>
      <c r="J8" s="74"/>
      <c r="K8" s="74"/>
      <c r="L8" s="74"/>
      <c r="M8" s="74"/>
      <c r="N8" s="74"/>
      <c r="O8" s="74"/>
      <c r="P8" s="74"/>
      <c r="Q8" s="75"/>
      <c r="S8" s="78" t="s">
        <v>64</v>
      </c>
      <c r="T8" s="79">
        <v>96</v>
      </c>
      <c r="U8" s="79">
        <v>1735</v>
      </c>
      <c r="W8" s="78"/>
      <c r="X8" s="79"/>
      <c r="Y8" s="79"/>
    </row>
    <row r="9" spans="1:25" ht="13.2" customHeight="1">
      <c r="A9" s="98" t="s">
        <v>122</v>
      </c>
      <c r="B9" s="6" t="s">
        <v>2</v>
      </c>
      <c r="C9" s="99">
        <f>SUM(E9:E11)</f>
        <v>0</v>
      </c>
      <c r="D9" s="88" t="s">
        <v>18</v>
      </c>
      <c r="E9" s="48">
        <f>IF(H9="",0,(16+H9*0.2)^0.75-(16+H9*0.2)^0.5)+IF(I9="",0,(16+I9*0.2)^0.75-(16+I9*0.2)^0.5)+IF(J9="",0,(16+J9*0.2)^0.75-(16+J9*0.2)^0.5)+IF(K9="",0,(16+K9*0.2)^0.75-(16+K9*0.2)^0.5)+IF(L9="",0,(16+L9*0.2)^0.75-(16+L9*0.2)^0.5)+IF(M9="",0,(16+M9*0.2)^0.75-(16+M9*0.2)^0.5)+IF(N9="",0,(16+N9*0.2)^0.75-(16+N9*0.2)^0.5)+IF(O9="",0,(16+O9*0.2)^0.75-(16+O9*0.2)^0.5)+IF(P9="",0,(16+P9*0.2)^0.75-(16+P9*0.2)^0.5)+IF(Q9="",0,(16+Q9*0.2)^0.75-(16+Q9*0.2)^0.5)</f>
        <v>0</v>
      </c>
      <c r="F9" s="6">
        <f t="shared" si="0"/>
        <v>0</v>
      </c>
      <c r="G9" s="86"/>
      <c r="H9" s="76"/>
      <c r="I9" s="76"/>
      <c r="J9" s="76"/>
      <c r="K9" s="76"/>
      <c r="L9" s="76"/>
      <c r="M9" s="76"/>
      <c r="N9" s="76"/>
      <c r="O9" s="76"/>
      <c r="P9" s="76"/>
      <c r="Q9" s="77"/>
      <c r="S9" s="78" t="s">
        <v>65</v>
      </c>
      <c r="T9" s="79">
        <v>103</v>
      </c>
      <c r="U9" s="79">
        <v>2289</v>
      </c>
      <c r="W9" s="78"/>
      <c r="X9" s="79"/>
      <c r="Y9" s="79"/>
    </row>
    <row r="10" spans="1:25">
      <c r="A10" s="95"/>
      <c r="B10" s="3" t="s">
        <v>3</v>
      </c>
      <c r="C10" s="99"/>
      <c r="D10" s="88"/>
      <c r="E10" s="50">
        <f>IF(H10="",0,(12+H10*0.2)^0.75-(12+H10*0.2)^0.5)+IF(I10="",0,(12+I10*0.2)^0.75-(12+I10*0.2)^0.5)+IF(J10="",0,(12+J10*0.2)^0.75-(12+J10*0.2)^0.5)+IF(K10="",0,(12+K10*0.2)^0.75-(12+K10*0.2)^0.5)+IF(L10="",0,(12+L10*0.2)^0.75-(12+L10*0.2)^0.5)+IF(M10="",0,(12+M10*0.2)^0.75-(12+M10*0.2)^0.5)+IF(N10="",0,(12+N10*0.2)^0.75-(12+N10*0.2)^0.5)+IF(O10="",0,(12+O10*0.2)^0.75-(12+O10*0.2)^0.5)+IF(P10="",0,(12+P10*0.2)^0.75-(12+P10*0.2)^0.5)+IF(Q10="",0,(12+Q10*0.2)^0.75-(12+Q10*0.2)^0.5)</f>
        <v>0</v>
      </c>
      <c r="F10" s="3">
        <f t="shared" si="0"/>
        <v>0</v>
      </c>
      <c r="G10" s="86"/>
      <c r="H10" s="71"/>
      <c r="I10" s="71"/>
      <c r="J10" s="71"/>
      <c r="K10" s="71"/>
      <c r="L10" s="71"/>
      <c r="M10" s="71"/>
      <c r="N10" s="71"/>
      <c r="O10" s="71"/>
      <c r="P10" s="71"/>
      <c r="Q10" s="72"/>
      <c r="S10" s="78" t="s">
        <v>66</v>
      </c>
      <c r="T10" s="79">
        <v>72</v>
      </c>
      <c r="U10" s="79">
        <v>2460</v>
      </c>
      <c r="W10" s="78"/>
      <c r="X10" s="79"/>
      <c r="Y10" s="79"/>
    </row>
    <row r="11" spans="1:25" ht="13.8" thickBot="1">
      <c r="A11" s="96"/>
      <c r="B11" s="12" t="s">
        <v>4</v>
      </c>
      <c r="C11" s="100"/>
      <c r="D11" s="89"/>
      <c r="E11" s="49">
        <f>IF(H11="",0,(8+H11*0.2)^0.75-(8+H11*0.2)^0.5)+IF(I11="",0,(8+I11*0.2)^0.75-(8+I11*0.2)^0.5)+IF(J11="",0,(8+J11*0.2)^0.75-(8+J11*0.2)^0.5)+IF(K11="",0,(8+K11*0.2)^0.75-(8+K11*0.2)^0.5)+IF(L11="",0,(8+L11*0.2)^0.75-(8+L11*0.2)^0.5)+IF(M11="",0,(8+M11*0.2)^0.75-(8+M11*0.2)^0.5)+IF(N11="",0,(8+N11*0.2)^0.75-(8+N11*0.2)^0.5)+IF(O11="",0,(8+O11*0.2)^0.75-(8+O11*0.2)^0.5)+IF(P11="",0,(8+P11*0.2)^0.75-(8+P11*0.2)^0.5)+IF(Q11="",0,(8+Q11*0.2)^0.75-(8+Q11*0.2)^0.5)</f>
        <v>0</v>
      </c>
      <c r="F11" s="12">
        <f t="shared" si="0"/>
        <v>0</v>
      </c>
      <c r="G11" s="87"/>
      <c r="H11" s="74"/>
      <c r="I11" s="74"/>
      <c r="J11" s="74"/>
      <c r="K11" s="74"/>
      <c r="L11" s="74"/>
      <c r="M11" s="74"/>
      <c r="N11" s="74"/>
      <c r="O11" s="74"/>
      <c r="P11" s="74"/>
      <c r="Q11" s="75"/>
      <c r="S11" s="81" t="s">
        <v>61</v>
      </c>
      <c r="T11" s="82">
        <v>59</v>
      </c>
      <c r="U11" s="82">
        <v>1593</v>
      </c>
      <c r="W11" s="78"/>
      <c r="X11" s="79"/>
      <c r="Y11" s="79"/>
    </row>
    <row r="12" spans="1:25" ht="13.8" thickBot="1">
      <c r="A12" s="94" t="s">
        <v>6</v>
      </c>
      <c r="B12" s="6" t="s">
        <v>2</v>
      </c>
      <c r="C12" s="88" t="s">
        <v>18</v>
      </c>
      <c r="D12" s="88" t="s">
        <v>18</v>
      </c>
      <c r="E12" s="9">
        <f>(0.5*F12)+(H12+I12+J12+K12+L12+M12+N12+O12+P12+Q12-F12)*0.5</f>
        <v>28.5</v>
      </c>
      <c r="F12" s="6">
        <f t="shared" si="0"/>
        <v>3</v>
      </c>
      <c r="G12" s="86"/>
      <c r="H12" s="76">
        <v>24</v>
      </c>
      <c r="I12" s="76">
        <v>21</v>
      </c>
      <c r="J12" s="76"/>
      <c r="K12" s="76"/>
      <c r="L12" s="76"/>
      <c r="M12" s="76">
        <v>12</v>
      </c>
      <c r="N12" s="76"/>
      <c r="O12" s="76"/>
      <c r="P12" s="76"/>
      <c r="Q12" s="77"/>
      <c r="S12" s="19" t="s">
        <v>30</v>
      </c>
      <c r="T12" s="20">
        <f>SUM(T2:T11)</f>
        <v>1171</v>
      </c>
      <c r="U12" s="21">
        <f>SUM(U2:U11)</f>
        <v>22401</v>
      </c>
      <c r="W12" s="78"/>
      <c r="X12" s="83"/>
      <c r="Y12" s="83"/>
    </row>
    <row r="13" spans="1:25">
      <c r="A13" s="95"/>
      <c r="B13" s="2" t="s">
        <v>3</v>
      </c>
      <c r="C13" s="86"/>
      <c r="D13" s="88"/>
      <c r="E13" s="7">
        <f>(0.5*F13)+(H13+I13+J13+K13+L13+M13+N13+O13+P13+Q13-F13)*0.5</f>
        <v>0</v>
      </c>
      <c r="F13" s="2">
        <f t="shared" si="0"/>
        <v>0</v>
      </c>
      <c r="G13" s="86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1:25" ht="13.8" thickBot="1">
      <c r="A14" s="96"/>
      <c r="B14" s="12" t="s">
        <v>4</v>
      </c>
      <c r="C14" s="87"/>
      <c r="D14" s="89"/>
      <c r="E14" s="13">
        <f>(0.35*F14)+(H14+I14+J14+K14+L14+M14+N14+O14+P14+Q14-F14)*0.35</f>
        <v>4.1999999999999993</v>
      </c>
      <c r="F14" s="12">
        <f t="shared" si="0"/>
        <v>1</v>
      </c>
      <c r="G14" s="87"/>
      <c r="H14" s="74"/>
      <c r="I14" s="74"/>
      <c r="J14" s="74"/>
      <c r="K14" s="74"/>
      <c r="L14" s="74"/>
      <c r="M14" s="74"/>
      <c r="N14" s="74">
        <v>12</v>
      </c>
      <c r="O14" s="74"/>
      <c r="P14" s="74"/>
      <c r="Q14" s="75"/>
      <c r="S14" s="17" t="s">
        <v>31</v>
      </c>
      <c r="T14" s="3" t="s">
        <v>22</v>
      </c>
      <c r="U14" s="3" t="s">
        <v>23</v>
      </c>
      <c r="W14" s="17" t="s">
        <v>128</v>
      </c>
      <c r="X14" s="3" t="s">
        <v>22</v>
      </c>
      <c r="Y14" s="3" t="s">
        <v>23</v>
      </c>
    </row>
    <row r="15" spans="1:25">
      <c r="A15" s="98" t="s">
        <v>17</v>
      </c>
      <c r="B15" s="6" t="s">
        <v>2</v>
      </c>
      <c r="C15" s="88">
        <f>SUM(E15:E17)</f>
        <v>21</v>
      </c>
      <c r="D15" s="88" t="s">
        <v>18</v>
      </c>
      <c r="E15" s="9"/>
      <c r="F15" s="6">
        <f t="shared" si="0"/>
        <v>0</v>
      </c>
      <c r="G15" s="86"/>
      <c r="H15" s="76"/>
      <c r="I15" s="76"/>
      <c r="J15" s="76"/>
      <c r="K15" s="76"/>
      <c r="L15" s="76"/>
      <c r="M15" s="76"/>
      <c r="N15" s="76"/>
      <c r="O15" s="76"/>
      <c r="P15" s="76"/>
      <c r="Q15" s="77"/>
      <c r="S15" s="78" t="s">
        <v>35</v>
      </c>
      <c r="T15" s="79">
        <v>806</v>
      </c>
      <c r="U15" s="79">
        <v>2142</v>
      </c>
      <c r="W15" s="78" t="s">
        <v>114</v>
      </c>
      <c r="X15" s="79">
        <v>879</v>
      </c>
      <c r="Y15" s="79">
        <v>1827</v>
      </c>
    </row>
    <row r="16" spans="1:25">
      <c r="A16" s="95"/>
      <c r="B16" s="2" t="s">
        <v>3</v>
      </c>
      <c r="C16" s="86"/>
      <c r="D16" s="88"/>
      <c r="E16" s="7">
        <f>(11*F16)+(H16+I16+J16+K16+L16+M16+N16+O16+P16+Q16-F16)*1</f>
        <v>0</v>
      </c>
      <c r="F16" s="2">
        <f t="shared" si="0"/>
        <v>0</v>
      </c>
      <c r="G16" s="86"/>
      <c r="H16" s="71"/>
      <c r="I16" s="71"/>
      <c r="J16" s="71"/>
      <c r="K16" s="71"/>
      <c r="L16" s="71"/>
      <c r="M16" s="71"/>
      <c r="N16" s="71"/>
      <c r="O16" s="71"/>
      <c r="P16" s="71"/>
      <c r="Q16" s="72"/>
      <c r="S16" s="78" t="s">
        <v>33</v>
      </c>
      <c r="T16" s="79">
        <v>615</v>
      </c>
      <c r="U16" s="79">
        <v>2559</v>
      </c>
      <c r="W16" s="81"/>
      <c r="X16" s="82"/>
      <c r="Y16" s="82"/>
    </row>
    <row r="17" spans="1:25" ht="13.8" thickBot="1">
      <c r="A17" s="96"/>
      <c r="B17" s="12" t="s">
        <v>4</v>
      </c>
      <c r="C17" s="87"/>
      <c r="D17" s="89"/>
      <c r="E17" s="13">
        <f>(1*F17)+(H17+I17+J17+K17+L17+M17+N17+O17+P17+Q17-F17)*1</f>
        <v>21</v>
      </c>
      <c r="F17" s="12">
        <f t="shared" si="0"/>
        <v>1</v>
      </c>
      <c r="G17" s="87"/>
      <c r="H17" s="74"/>
      <c r="I17" s="74"/>
      <c r="J17" s="74">
        <v>21</v>
      </c>
      <c r="K17" s="74"/>
      <c r="L17" s="74"/>
      <c r="M17" s="74"/>
      <c r="N17" s="74"/>
      <c r="O17" s="74"/>
      <c r="P17" s="74"/>
      <c r="Q17" s="75"/>
      <c r="S17" s="78" t="s">
        <v>34</v>
      </c>
      <c r="T17" s="79">
        <v>723</v>
      </c>
      <c r="U17" s="79">
        <v>2301</v>
      </c>
      <c r="W17" s="78"/>
      <c r="X17" s="79"/>
      <c r="Y17" s="79"/>
    </row>
    <row r="18" spans="1:25">
      <c r="A18" s="94" t="s">
        <v>7</v>
      </c>
      <c r="B18" s="6" t="s">
        <v>2</v>
      </c>
      <c r="C18" s="88">
        <f>SUM(E18:E20)</f>
        <v>16</v>
      </c>
      <c r="D18" s="88" t="s">
        <v>18</v>
      </c>
      <c r="E18" s="9">
        <f>(11*F18)+(H18+I18+J18+K18+L18+M18+N18+O18+P18+Q18-F18)*1</f>
        <v>0</v>
      </c>
      <c r="F18" s="6">
        <f t="shared" si="0"/>
        <v>0</v>
      </c>
      <c r="G18" s="86"/>
      <c r="H18" s="76"/>
      <c r="I18" s="76"/>
      <c r="J18" s="76"/>
      <c r="K18" s="76"/>
      <c r="L18" s="76"/>
      <c r="M18" s="76"/>
      <c r="N18" s="76"/>
      <c r="O18" s="76"/>
      <c r="P18" s="76"/>
      <c r="Q18" s="77"/>
      <c r="S18" s="78" t="s">
        <v>32</v>
      </c>
      <c r="T18" s="79">
        <v>657</v>
      </c>
      <c r="U18" s="79">
        <v>2355</v>
      </c>
      <c r="W18" s="78"/>
      <c r="X18" s="79"/>
      <c r="Y18" s="79"/>
    </row>
    <row r="19" spans="1:25">
      <c r="A19" s="95"/>
      <c r="B19" s="2" t="s">
        <v>3</v>
      </c>
      <c r="C19" s="86"/>
      <c r="D19" s="88"/>
      <c r="E19" s="7">
        <f>(8*F19)+(H19+I19+J19+K19+L19+M19+N19+O19+P19+Q19-F19)*1</f>
        <v>0</v>
      </c>
      <c r="F19" s="2">
        <f t="shared" si="0"/>
        <v>0</v>
      </c>
      <c r="G19" s="86"/>
      <c r="H19" s="71"/>
      <c r="I19" s="71"/>
      <c r="J19" s="71"/>
      <c r="K19" s="71"/>
      <c r="L19" s="71"/>
      <c r="M19" s="71"/>
      <c r="N19" s="71"/>
      <c r="O19" s="71"/>
      <c r="P19" s="71"/>
      <c r="Q19" s="72"/>
      <c r="S19" s="78" t="s">
        <v>36</v>
      </c>
      <c r="T19" s="79">
        <v>759</v>
      </c>
      <c r="U19" s="79">
        <v>2187</v>
      </c>
      <c r="W19" s="78"/>
      <c r="X19" s="79"/>
      <c r="Y19" s="79"/>
    </row>
    <row r="20" spans="1:25" ht="13.8" thickBot="1">
      <c r="A20" s="96"/>
      <c r="B20" s="12" t="s">
        <v>4</v>
      </c>
      <c r="C20" s="87"/>
      <c r="D20" s="89"/>
      <c r="E20" s="13">
        <f>(5*F20)+(H20+I20+J20+K20+L20+M20+N20+O20+P20+Q20-F20)*1</f>
        <v>16</v>
      </c>
      <c r="F20" s="12">
        <f t="shared" si="0"/>
        <v>1</v>
      </c>
      <c r="G20" s="87"/>
      <c r="H20" s="74"/>
      <c r="I20" s="74"/>
      <c r="J20" s="74"/>
      <c r="K20" s="74"/>
      <c r="L20" s="74"/>
      <c r="M20" s="74">
        <v>12</v>
      </c>
      <c r="N20" s="74"/>
      <c r="O20" s="74"/>
      <c r="P20" s="74"/>
      <c r="Q20" s="75"/>
      <c r="S20" s="81" t="s">
        <v>115</v>
      </c>
      <c r="T20" s="82">
        <v>600</v>
      </c>
      <c r="U20" s="82">
        <v>2130</v>
      </c>
      <c r="W20" s="78"/>
      <c r="X20" s="79"/>
      <c r="Y20" s="79"/>
    </row>
    <row r="21" spans="1:25" ht="13.8" thickBot="1">
      <c r="S21" s="19" t="s">
        <v>30</v>
      </c>
      <c r="T21" s="20">
        <f>SUM(T15:T20)</f>
        <v>4160</v>
      </c>
      <c r="U21" s="21">
        <f>SUM(U15:U20)</f>
        <v>13674</v>
      </c>
    </row>
    <row r="22" spans="1:25">
      <c r="A22" s="47" t="s">
        <v>1</v>
      </c>
      <c r="B22" s="23">
        <f>C3/100</f>
        <v>1.2770000000000001</v>
      </c>
      <c r="C22" s="14"/>
      <c r="D22" s="15"/>
      <c r="E22" s="84">
        <f>U$24*(B22+1)*(U25+1)*(U26+1)*IF(B24=0,1,B24+1)</f>
        <v>127321.30125000002</v>
      </c>
      <c r="F22" s="85"/>
      <c r="G22" s="85"/>
    </row>
    <row r="23" spans="1:25" ht="13.8" thickBot="1">
      <c r="A23" s="52" t="s">
        <v>5</v>
      </c>
      <c r="B23" s="53">
        <f>C6/100</f>
        <v>0.12</v>
      </c>
      <c r="C23" s="54"/>
      <c r="D23" s="55"/>
      <c r="E23" s="84">
        <f>T$24*(B23+1)*(T25+1)*(T26+1)</f>
        <v>7164.8640000000005</v>
      </c>
      <c r="F23" s="85"/>
      <c r="G23" s="85"/>
      <c r="T23" s="3" t="s">
        <v>22</v>
      </c>
      <c r="U23" s="3" t="s">
        <v>23</v>
      </c>
    </row>
    <row r="24" spans="1:25" ht="13.8" thickBot="1">
      <c r="A24" s="56" t="s">
        <v>123</v>
      </c>
      <c r="B24" s="24">
        <f>C9/100</f>
        <v>0</v>
      </c>
      <c r="C24" s="14"/>
      <c r="D24" s="15"/>
      <c r="E24" s="51"/>
      <c r="S24" s="19" t="s">
        <v>39</v>
      </c>
      <c r="T24" s="20">
        <f>+T12+T21</f>
        <v>5331</v>
      </c>
      <c r="U24" s="21">
        <f>+U12+U21</f>
        <v>36075</v>
      </c>
    </row>
    <row r="25" spans="1:25">
      <c r="A25" s="8" t="s">
        <v>38</v>
      </c>
      <c r="B25" s="22">
        <f>C15/100</f>
        <v>0.21</v>
      </c>
      <c r="C25" s="14"/>
      <c r="D25" s="15"/>
      <c r="S25" s="4" t="s">
        <v>57</v>
      </c>
      <c r="T25" s="80">
        <v>0.2</v>
      </c>
      <c r="U25" s="80">
        <v>0.55000000000000004</v>
      </c>
    </row>
    <row r="26" spans="1:25">
      <c r="A26" s="3" t="s">
        <v>7</v>
      </c>
      <c r="B26" s="22">
        <f>C18/100</f>
        <v>0.16</v>
      </c>
      <c r="C26" s="14"/>
      <c r="D26" s="15"/>
      <c r="S26" s="4" t="s">
        <v>58</v>
      </c>
      <c r="T26" s="80"/>
      <c r="U26" s="80"/>
    </row>
  </sheetData>
  <mergeCells count="26">
    <mergeCell ref="E23:G23"/>
    <mergeCell ref="G3:G5"/>
    <mergeCell ref="A6:A8"/>
    <mergeCell ref="C6:C8"/>
    <mergeCell ref="G6:G8"/>
    <mergeCell ref="E22:G22"/>
    <mergeCell ref="A18:A20"/>
    <mergeCell ref="C18:C20"/>
    <mergeCell ref="G18:G20"/>
    <mergeCell ref="D3:D5"/>
    <mergeCell ref="D6:D8"/>
    <mergeCell ref="D12:D14"/>
    <mergeCell ref="D15:D17"/>
    <mergeCell ref="D18:D20"/>
    <mergeCell ref="A12:A14"/>
    <mergeCell ref="C12:C14"/>
    <mergeCell ref="G12:G14"/>
    <mergeCell ref="A15:A17"/>
    <mergeCell ref="C15:C17"/>
    <mergeCell ref="G15:G17"/>
    <mergeCell ref="A3:A5"/>
    <mergeCell ref="C3:C5"/>
    <mergeCell ref="A9:A11"/>
    <mergeCell ref="C9:C11"/>
    <mergeCell ref="D9:D11"/>
    <mergeCell ref="G9:G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6"/>
  <sheetViews>
    <sheetView workbookViewId="0">
      <selection activeCell="B30" sqref="B30"/>
    </sheetView>
  </sheetViews>
  <sheetFormatPr defaultRowHeight="13.2"/>
  <cols>
    <col min="1" max="1" width="16.77734375" customWidth="1"/>
    <col min="2" max="2" width="6.77734375" style="1" customWidth="1"/>
    <col min="3" max="3" width="5.77734375" style="1" customWidth="1"/>
    <col min="4" max="4" width="6.77734375" style="1" customWidth="1"/>
    <col min="5" max="6" width="5.77734375" style="1" customWidth="1"/>
    <col min="7" max="17" width="3.77734375" customWidth="1"/>
    <col min="18" max="18" width="2.77734375" customWidth="1"/>
    <col min="19" max="19" width="24" bestFit="1" customWidth="1"/>
    <col min="20" max="20" width="6.5546875" bestFit="1" customWidth="1"/>
    <col min="21" max="21" width="7.5546875" bestFit="1" customWidth="1"/>
    <col min="22" max="22" width="2.77734375" customWidth="1"/>
    <col min="23" max="23" width="24" bestFit="1" customWidth="1"/>
    <col min="24" max="24" width="6.5546875" bestFit="1" customWidth="1"/>
    <col min="25" max="25" width="7.5546875" bestFit="1" customWidth="1"/>
    <col min="26" max="37" width="5.77734375" customWidth="1"/>
  </cols>
  <sheetData>
    <row r="1" spans="1:25" ht="13.8" thickBot="1">
      <c r="A1" t="s">
        <v>20</v>
      </c>
      <c r="B1" s="16">
        <v>53277</v>
      </c>
      <c r="S1" s="17" t="s">
        <v>21</v>
      </c>
      <c r="T1" s="3" t="s">
        <v>22</v>
      </c>
      <c r="U1" s="3" t="s">
        <v>23</v>
      </c>
      <c r="W1" s="17" t="s">
        <v>127</v>
      </c>
      <c r="X1" s="3" t="s">
        <v>22</v>
      </c>
      <c r="Y1" s="3" t="s">
        <v>23</v>
      </c>
    </row>
    <row r="2" spans="1:25" s="1" customFormat="1" ht="13.8" thickBot="1">
      <c r="A2" s="5" t="s">
        <v>11</v>
      </c>
      <c r="B2" s="5" t="s">
        <v>13</v>
      </c>
      <c r="C2" s="5" t="s">
        <v>14</v>
      </c>
      <c r="D2" s="5" t="s">
        <v>19</v>
      </c>
      <c r="E2" s="5" t="s">
        <v>16</v>
      </c>
      <c r="F2" s="5" t="s">
        <v>15</v>
      </c>
      <c r="G2" s="66" t="s">
        <v>126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  <c r="O2" s="5">
        <v>8</v>
      </c>
      <c r="P2" s="5">
        <v>9</v>
      </c>
      <c r="Q2" s="65">
        <v>10</v>
      </c>
      <c r="S2" s="78" t="s">
        <v>72</v>
      </c>
      <c r="T2" s="79">
        <v>155</v>
      </c>
      <c r="U2" s="79">
        <v>2433</v>
      </c>
      <c r="W2" s="78" t="s">
        <v>71</v>
      </c>
      <c r="X2" s="79">
        <v>128</v>
      </c>
      <c r="Y2" s="79">
        <v>1437</v>
      </c>
    </row>
    <row r="3" spans="1:25">
      <c r="A3" s="97" t="s">
        <v>1</v>
      </c>
      <c r="B3" s="10" t="s">
        <v>2</v>
      </c>
      <c r="C3" s="90">
        <f>SUM(E3:E5)+SUM(E12:E14)+D3</f>
        <v>131</v>
      </c>
      <c r="D3" s="90">
        <f>IF(G3="",0,11+(G3-1)*1)</f>
        <v>30</v>
      </c>
      <c r="E3" s="11">
        <f>(6.5*F3)+(H3+I3+J3+K3+L3+M3+N3+O3+P3+Q3-F3)*0.5</f>
        <v>60.5</v>
      </c>
      <c r="F3" s="10">
        <f t="shared" ref="F3:F20" si="0">COUNT(H3:Q3)</f>
        <v>4</v>
      </c>
      <c r="G3" s="91">
        <v>20</v>
      </c>
      <c r="H3" s="68">
        <v>30</v>
      </c>
      <c r="I3" s="68"/>
      <c r="J3" s="68">
        <v>18</v>
      </c>
      <c r="K3" s="68"/>
      <c r="L3" s="68"/>
      <c r="M3" s="68"/>
      <c r="N3" s="68">
        <v>13</v>
      </c>
      <c r="O3" s="68"/>
      <c r="P3" s="68">
        <v>12</v>
      </c>
      <c r="Q3" s="69"/>
      <c r="S3" s="78" t="s">
        <v>73</v>
      </c>
      <c r="T3" s="79">
        <v>264</v>
      </c>
      <c r="U3" s="79">
        <v>2614</v>
      </c>
      <c r="W3" s="78"/>
      <c r="X3" s="79"/>
      <c r="Y3" s="79"/>
    </row>
    <row r="4" spans="1:25">
      <c r="A4" s="95"/>
      <c r="B4" s="2" t="s">
        <v>3</v>
      </c>
      <c r="C4" s="86"/>
      <c r="D4" s="88"/>
      <c r="E4" s="7">
        <f>(3.5*F4)+(H4+I4+J4+K4+L4+M4+N4+O4+P4+Q4-F4)*0.5</f>
        <v>19</v>
      </c>
      <c r="F4" s="2">
        <f t="shared" si="0"/>
        <v>2</v>
      </c>
      <c r="G4" s="92"/>
      <c r="H4" s="71"/>
      <c r="I4" s="71"/>
      <c r="J4" s="71"/>
      <c r="K4" s="71"/>
      <c r="L4" s="71">
        <v>13</v>
      </c>
      <c r="M4" s="71"/>
      <c r="N4" s="71"/>
      <c r="O4" s="71">
        <v>13</v>
      </c>
      <c r="P4" s="71"/>
      <c r="Q4" s="72"/>
      <c r="S4" s="78" t="s">
        <v>74</v>
      </c>
      <c r="T4" s="79">
        <v>224</v>
      </c>
      <c r="U4" s="79">
        <v>2713</v>
      </c>
      <c r="W4" s="78"/>
      <c r="X4" s="79"/>
      <c r="Y4" s="79"/>
    </row>
    <row r="5" spans="1:25" ht="13.8" thickBot="1">
      <c r="A5" s="96"/>
      <c r="B5" s="12" t="s">
        <v>4</v>
      </c>
      <c r="C5" s="87"/>
      <c r="D5" s="89"/>
      <c r="E5" s="13">
        <f>(0.5*F5)+(H5+I5+J5+K5+L5+M5+N5+O5+P5+Q5-F5)*0.5</f>
        <v>6.5</v>
      </c>
      <c r="F5" s="12">
        <f t="shared" si="0"/>
        <v>1</v>
      </c>
      <c r="G5" s="93"/>
      <c r="H5" s="74"/>
      <c r="I5" s="74"/>
      <c r="J5" s="74"/>
      <c r="K5" s="74"/>
      <c r="L5" s="74"/>
      <c r="M5" s="74">
        <v>13</v>
      </c>
      <c r="N5" s="74"/>
      <c r="O5" s="74"/>
      <c r="P5" s="74"/>
      <c r="Q5" s="75"/>
      <c r="S5" s="78" t="s">
        <v>75</v>
      </c>
      <c r="T5" s="79">
        <v>107</v>
      </c>
      <c r="U5" s="79">
        <v>2451</v>
      </c>
      <c r="W5" s="78"/>
      <c r="X5" s="79"/>
      <c r="Y5" s="79"/>
    </row>
    <row r="6" spans="1:25">
      <c r="A6" s="94" t="s">
        <v>5</v>
      </c>
      <c r="B6" s="6" t="s">
        <v>2</v>
      </c>
      <c r="C6" s="88">
        <f>SUM(E6:E8)+D6</f>
        <v>52.5</v>
      </c>
      <c r="D6" s="88">
        <f>IF(G6="",0,11+(G6-1)*1)</f>
        <v>0</v>
      </c>
      <c r="E6" s="9">
        <f>(6.5*F6)+(H6+I6+J6+K6+L6+M6+N6+O6+P6+Q6-F6)*0.5</f>
        <v>25</v>
      </c>
      <c r="F6" s="6">
        <f t="shared" si="0"/>
        <v>2</v>
      </c>
      <c r="G6" s="91"/>
      <c r="H6" s="76"/>
      <c r="I6" s="76"/>
      <c r="J6" s="76"/>
      <c r="K6" s="76">
        <v>13</v>
      </c>
      <c r="L6" s="76"/>
      <c r="M6" s="76">
        <v>13</v>
      </c>
      <c r="N6" s="76"/>
      <c r="O6" s="76"/>
      <c r="P6" s="76"/>
      <c r="Q6" s="69"/>
      <c r="S6" s="78" t="s">
        <v>76</v>
      </c>
      <c r="T6" s="79">
        <v>134</v>
      </c>
      <c r="U6" s="79">
        <v>1670</v>
      </c>
      <c r="W6" s="78"/>
      <c r="X6" s="79"/>
      <c r="Y6" s="79"/>
    </row>
    <row r="7" spans="1:25">
      <c r="A7" s="95"/>
      <c r="B7" s="2" t="s">
        <v>3</v>
      </c>
      <c r="C7" s="86"/>
      <c r="D7" s="88"/>
      <c r="E7" s="7">
        <f>(3.5*F7)+(H7+I7+J7+K7+L7+M7+N7+O7+P7+Q7-F7)*0.5</f>
        <v>0</v>
      </c>
      <c r="F7" s="2">
        <f t="shared" si="0"/>
        <v>0</v>
      </c>
      <c r="G7" s="92"/>
      <c r="H7" s="71"/>
      <c r="I7" s="71"/>
      <c r="J7" s="71"/>
      <c r="K7" s="71"/>
      <c r="L7" s="71"/>
      <c r="M7" s="71"/>
      <c r="N7" s="71"/>
      <c r="O7" s="71"/>
      <c r="P7" s="71"/>
      <c r="Q7" s="72"/>
      <c r="S7" s="78" t="s">
        <v>77</v>
      </c>
      <c r="T7" s="79">
        <v>74</v>
      </c>
      <c r="U7" s="79">
        <v>1276</v>
      </c>
      <c r="W7" s="78"/>
      <c r="X7" s="79"/>
      <c r="Y7" s="79"/>
    </row>
    <row r="8" spans="1:25" ht="13.8" thickBot="1">
      <c r="A8" s="96"/>
      <c r="B8" s="12" t="s">
        <v>4</v>
      </c>
      <c r="C8" s="87"/>
      <c r="D8" s="89"/>
      <c r="E8" s="13">
        <f>(0.5*F8)+(H8+I8+J8+K8+L8+M8+N8+O8+P8+Q8-F8)*0.5</f>
        <v>27.5</v>
      </c>
      <c r="F8" s="12">
        <f t="shared" si="0"/>
        <v>3</v>
      </c>
      <c r="G8" s="93"/>
      <c r="H8" s="74">
        <v>30</v>
      </c>
      <c r="I8" s="74"/>
      <c r="J8" s="74"/>
      <c r="K8" s="74"/>
      <c r="L8" s="74">
        <v>13</v>
      </c>
      <c r="M8" s="74"/>
      <c r="N8" s="74"/>
      <c r="O8" s="74"/>
      <c r="P8" s="74">
        <v>12</v>
      </c>
      <c r="Q8" s="75"/>
      <c r="S8" s="78" t="s">
        <v>78</v>
      </c>
      <c r="T8" s="79">
        <v>139</v>
      </c>
      <c r="U8" s="79">
        <v>2151</v>
      </c>
      <c r="W8" s="78"/>
      <c r="X8" s="79"/>
      <c r="Y8" s="79"/>
    </row>
    <row r="9" spans="1:25">
      <c r="A9" s="98" t="s">
        <v>122</v>
      </c>
      <c r="B9" s="6" t="s">
        <v>2</v>
      </c>
      <c r="C9" s="99">
        <f>SUM(E9:E11)</f>
        <v>0</v>
      </c>
      <c r="D9" s="88" t="s">
        <v>18</v>
      </c>
      <c r="E9" s="48">
        <f>IF(H9="",0,(16+H9*0.2)^0.75-(16+H9*0.2)^0.5)+IF(I9="",0,(16+I9*0.2)^0.75-(16+I9*0.2)^0.5)+IF(J9="",0,(16+J9*0.2)^0.75-(16+J9*0.2)^0.5)+IF(K9="",0,(16+K9*0.2)^0.75-(16+K9*0.2)^0.5)+IF(L9="",0,(16+L9*0.2)^0.75-(16+L9*0.2)^0.5)+IF(M9="",0,(16+M9*0.2)^0.75-(16+M9*0.2)^0.5)+IF(N9="",0,(16+N9*0.2)^0.75-(16+N9*0.2)^0.5)+IF(O9="",0,(16+O9*0.2)^0.75-(16+O9*0.2)^0.5)+IF(P9="",0,(16+P9*0.2)^0.75-(16+P9*0.2)^0.5)+IF(Q9="",0,(16+Q9*0.2)^0.75-(16+Q9*0.2)^0.5)</f>
        <v>0</v>
      </c>
      <c r="F9" s="6">
        <f t="shared" si="0"/>
        <v>0</v>
      </c>
      <c r="G9" s="86"/>
      <c r="H9" s="76"/>
      <c r="I9" s="76"/>
      <c r="J9" s="76"/>
      <c r="K9" s="76"/>
      <c r="L9" s="76"/>
      <c r="M9" s="76"/>
      <c r="N9" s="76"/>
      <c r="O9" s="76"/>
      <c r="P9" s="76"/>
      <c r="Q9" s="77"/>
      <c r="S9" s="78" t="s">
        <v>79</v>
      </c>
      <c r="T9" s="79">
        <v>84</v>
      </c>
      <c r="U9" s="79">
        <v>2026</v>
      </c>
      <c r="W9" s="78"/>
      <c r="X9" s="79"/>
      <c r="Y9" s="79"/>
    </row>
    <row r="10" spans="1:25">
      <c r="A10" s="95"/>
      <c r="B10" s="3" t="s">
        <v>3</v>
      </c>
      <c r="C10" s="99"/>
      <c r="D10" s="88"/>
      <c r="E10" s="50">
        <f>IF(H10="",0,(12+H10*0.2)^0.75-(12+H10*0.2)^0.5)+IF(I10="",0,(12+I10*0.2)^0.75-(12+I10*0.2)^0.5)+IF(J10="",0,(12+J10*0.2)^0.75-(12+J10*0.2)^0.5)+IF(K10="",0,(12+K10*0.2)^0.75-(12+K10*0.2)^0.5)+IF(L10="",0,(12+L10*0.2)^0.75-(12+L10*0.2)^0.5)+IF(M10="",0,(12+M10*0.2)^0.75-(12+M10*0.2)^0.5)+IF(N10="",0,(12+N10*0.2)^0.75-(12+N10*0.2)^0.5)+IF(O10="",0,(12+O10*0.2)^0.75-(12+O10*0.2)^0.5)+IF(P10="",0,(12+P10*0.2)^0.75-(12+P10*0.2)^0.5)+IF(Q10="",0,(12+Q10*0.2)^0.75-(12+Q10*0.2)^0.5)</f>
        <v>0</v>
      </c>
      <c r="F10" s="3">
        <f t="shared" si="0"/>
        <v>0</v>
      </c>
      <c r="G10" s="86"/>
      <c r="H10" s="71"/>
      <c r="I10" s="71"/>
      <c r="J10" s="71"/>
      <c r="K10" s="71"/>
      <c r="L10" s="71"/>
      <c r="M10" s="71"/>
      <c r="N10" s="71"/>
      <c r="O10" s="71"/>
      <c r="P10" s="71"/>
      <c r="Q10" s="72"/>
      <c r="S10" s="78" t="s">
        <v>80</v>
      </c>
      <c r="T10" s="79">
        <v>98</v>
      </c>
      <c r="U10" s="79">
        <v>2358</v>
      </c>
      <c r="W10" s="78"/>
      <c r="X10" s="79"/>
      <c r="Y10" s="79"/>
    </row>
    <row r="11" spans="1:25" ht="13.8" thickBot="1">
      <c r="A11" s="96"/>
      <c r="B11" s="12" t="s">
        <v>4</v>
      </c>
      <c r="C11" s="100"/>
      <c r="D11" s="89"/>
      <c r="E11" s="49">
        <f>IF(H11="",0,(8+H11*0.2)^0.75-(8+H11*0.2)^0.5)+IF(I11="",0,(8+I11*0.2)^0.75-(8+I11*0.2)^0.5)+IF(J11="",0,(8+J11*0.2)^0.75-(8+J11*0.2)^0.5)+IF(K11="",0,(8+K11*0.2)^0.75-(8+K11*0.2)^0.5)+IF(L11="",0,(8+L11*0.2)^0.75-(8+L11*0.2)^0.5)+IF(M11="",0,(8+M11*0.2)^0.75-(8+M11*0.2)^0.5)+IF(N11="",0,(8+N11*0.2)^0.75-(8+N11*0.2)^0.5)+IF(O11="",0,(8+O11*0.2)^0.75-(8+O11*0.2)^0.5)+IF(P11="",0,(8+P11*0.2)^0.75-(8+P11*0.2)^0.5)+IF(Q11="",0,(8+Q11*0.2)^0.75-(8+Q11*0.2)^0.5)</f>
        <v>0</v>
      </c>
      <c r="F11" s="12">
        <f t="shared" si="0"/>
        <v>0</v>
      </c>
      <c r="G11" s="87"/>
      <c r="H11" s="74"/>
      <c r="I11" s="74"/>
      <c r="J11" s="74"/>
      <c r="K11" s="74"/>
      <c r="L11" s="74"/>
      <c r="M11" s="74"/>
      <c r="N11" s="74"/>
      <c r="O11" s="74"/>
      <c r="P11" s="74"/>
      <c r="Q11" s="75"/>
      <c r="S11" s="81" t="s">
        <v>81</v>
      </c>
      <c r="T11" s="82">
        <v>72</v>
      </c>
      <c r="U11" s="82">
        <v>1273</v>
      </c>
      <c r="W11" s="78"/>
      <c r="X11" s="79"/>
      <c r="Y11" s="79"/>
    </row>
    <row r="12" spans="1:25" ht="13.8" thickBot="1">
      <c r="A12" s="94" t="s">
        <v>6</v>
      </c>
      <c r="B12" s="6" t="s">
        <v>2</v>
      </c>
      <c r="C12" s="88" t="s">
        <v>18</v>
      </c>
      <c r="D12" s="88" t="s">
        <v>18</v>
      </c>
      <c r="E12" s="9">
        <f>(0.5*F12)+(H12+I12+J12+K12+L12+M12+N12+O12+P12+Q12-F12)*0.5</f>
        <v>15</v>
      </c>
      <c r="F12" s="6">
        <f t="shared" si="0"/>
        <v>1</v>
      </c>
      <c r="G12" s="86"/>
      <c r="H12" s="76"/>
      <c r="I12" s="76">
        <v>30</v>
      </c>
      <c r="J12" s="76"/>
      <c r="K12" s="76"/>
      <c r="L12" s="76"/>
      <c r="M12" s="76"/>
      <c r="N12" s="76"/>
      <c r="O12" s="76"/>
      <c r="P12" s="76"/>
      <c r="Q12" s="77"/>
      <c r="S12" s="19" t="s">
        <v>30</v>
      </c>
      <c r="T12" s="20">
        <f>SUM(T2:T11)</f>
        <v>1351</v>
      </c>
      <c r="U12" s="21">
        <f>SUM(U2:U11)</f>
        <v>20965</v>
      </c>
      <c r="W12" s="78"/>
      <c r="X12" s="83"/>
      <c r="Y12" s="83"/>
    </row>
    <row r="13" spans="1:25">
      <c r="A13" s="95"/>
      <c r="B13" s="2" t="s">
        <v>3</v>
      </c>
      <c r="C13" s="86"/>
      <c r="D13" s="88"/>
      <c r="E13" s="7">
        <f>(0.5*F13)+(H13+I13+J13+K13+L13+M13+N13+O13+P13+Q13-F13)*0.5</f>
        <v>0</v>
      </c>
      <c r="F13" s="2">
        <f t="shared" si="0"/>
        <v>0</v>
      </c>
      <c r="G13" s="86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1:25" ht="13.8" thickBot="1">
      <c r="A14" s="96"/>
      <c r="B14" s="12" t="s">
        <v>4</v>
      </c>
      <c r="C14" s="87"/>
      <c r="D14" s="89"/>
      <c r="E14" s="13">
        <f>(0.35*F14)+(H14+I14+J14+K14+L14+M14+N14+O14+P14+Q14-F14)*0.35</f>
        <v>0</v>
      </c>
      <c r="F14" s="12">
        <f t="shared" si="0"/>
        <v>0</v>
      </c>
      <c r="G14" s="87"/>
      <c r="H14" s="74"/>
      <c r="I14" s="74"/>
      <c r="J14" s="74"/>
      <c r="K14" s="74"/>
      <c r="L14" s="74"/>
      <c r="M14" s="74"/>
      <c r="N14" s="74"/>
      <c r="O14" s="74"/>
      <c r="P14" s="74"/>
      <c r="Q14" s="75"/>
      <c r="S14" s="17" t="s">
        <v>31</v>
      </c>
      <c r="T14" s="3" t="s">
        <v>22</v>
      </c>
      <c r="U14" s="3" t="s">
        <v>23</v>
      </c>
      <c r="W14" s="17" t="s">
        <v>128</v>
      </c>
      <c r="X14" s="3" t="s">
        <v>22</v>
      </c>
      <c r="Y14" s="3" t="s">
        <v>23</v>
      </c>
    </row>
    <row r="15" spans="1:25">
      <c r="A15" s="98" t="s">
        <v>17</v>
      </c>
      <c r="B15" s="6" t="s">
        <v>2</v>
      </c>
      <c r="C15" s="88">
        <f>SUM(E15:E17)</f>
        <v>0</v>
      </c>
      <c r="D15" s="88" t="s">
        <v>18</v>
      </c>
      <c r="E15" s="9"/>
      <c r="F15" s="6">
        <f t="shared" si="0"/>
        <v>0</v>
      </c>
      <c r="G15" s="86"/>
      <c r="H15" s="76"/>
      <c r="I15" s="76"/>
      <c r="J15" s="76"/>
      <c r="K15" s="76"/>
      <c r="L15" s="76"/>
      <c r="M15" s="76"/>
      <c r="N15" s="76"/>
      <c r="O15" s="76"/>
      <c r="P15" s="76"/>
      <c r="Q15" s="77"/>
      <c r="S15" s="78" t="s">
        <v>67</v>
      </c>
      <c r="T15" s="79">
        <v>681</v>
      </c>
      <c r="U15" s="79">
        <v>1944</v>
      </c>
      <c r="W15" s="78"/>
      <c r="X15" s="79"/>
      <c r="Y15" s="79"/>
    </row>
    <row r="16" spans="1:25">
      <c r="A16" s="95"/>
      <c r="B16" s="2" t="s">
        <v>3</v>
      </c>
      <c r="C16" s="86"/>
      <c r="D16" s="88"/>
      <c r="E16" s="7">
        <f>(11*F16)+(H16+I16+J16+K16+L16+M16+N16+O16+P16+Q16-F16)*1</f>
        <v>0</v>
      </c>
      <c r="F16" s="2">
        <f t="shared" si="0"/>
        <v>0</v>
      </c>
      <c r="G16" s="86"/>
      <c r="H16" s="71"/>
      <c r="I16" s="71"/>
      <c r="J16" s="71"/>
      <c r="K16" s="71"/>
      <c r="L16" s="71"/>
      <c r="M16" s="71"/>
      <c r="N16" s="71"/>
      <c r="O16" s="71"/>
      <c r="P16" s="71"/>
      <c r="Q16" s="72"/>
      <c r="S16" s="78" t="s">
        <v>68</v>
      </c>
      <c r="T16" s="79">
        <v>570</v>
      </c>
      <c r="U16" s="79">
        <v>1950</v>
      </c>
      <c r="W16" s="78"/>
      <c r="X16" s="79"/>
      <c r="Y16" s="79"/>
    </row>
    <row r="17" spans="1:25" ht="13.8" thickBot="1">
      <c r="A17" s="96"/>
      <c r="B17" s="12" t="s">
        <v>4</v>
      </c>
      <c r="C17" s="87"/>
      <c r="D17" s="89"/>
      <c r="E17" s="13">
        <f>(1*F17)+(H17+I17+J17+K17+L17+M17+N17+O17+P17+Q17-F17)*1</f>
        <v>0</v>
      </c>
      <c r="F17" s="12">
        <f t="shared" si="0"/>
        <v>0</v>
      </c>
      <c r="G17" s="87"/>
      <c r="H17" s="74"/>
      <c r="I17" s="74"/>
      <c r="J17" s="74"/>
      <c r="K17" s="74"/>
      <c r="L17" s="74"/>
      <c r="M17" s="74"/>
      <c r="N17" s="74"/>
      <c r="O17" s="74"/>
      <c r="P17" s="74"/>
      <c r="Q17" s="75"/>
      <c r="S17" s="78" t="s">
        <v>37</v>
      </c>
      <c r="T17" s="79">
        <v>879</v>
      </c>
      <c r="U17" s="79">
        <v>1827</v>
      </c>
      <c r="W17" s="78"/>
      <c r="X17" s="79"/>
      <c r="Y17" s="79"/>
    </row>
    <row r="18" spans="1:25">
      <c r="A18" s="94" t="s">
        <v>7</v>
      </c>
      <c r="B18" s="6" t="s">
        <v>2</v>
      </c>
      <c r="C18" s="88">
        <f>SUM(E18:E20)</f>
        <v>54</v>
      </c>
      <c r="D18" s="88" t="s">
        <v>18</v>
      </c>
      <c r="E18" s="9">
        <f>(11*F18)+(H18+I18+J18+K18+L18+M18+N18+O18+P18+Q18-F18)*1</f>
        <v>0</v>
      </c>
      <c r="F18" s="6">
        <f t="shared" si="0"/>
        <v>0</v>
      </c>
      <c r="G18" s="86"/>
      <c r="H18" s="76"/>
      <c r="I18" s="76"/>
      <c r="J18" s="76"/>
      <c r="K18" s="76"/>
      <c r="L18" s="76"/>
      <c r="M18" s="76"/>
      <c r="N18" s="76"/>
      <c r="O18" s="76"/>
      <c r="P18" s="76"/>
      <c r="Q18" s="77"/>
      <c r="S18" s="78" t="s">
        <v>69</v>
      </c>
      <c r="T18" s="79">
        <v>780</v>
      </c>
      <c r="U18" s="79">
        <v>1248</v>
      </c>
      <c r="W18" s="78"/>
      <c r="X18" s="79"/>
      <c r="Y18" s="79"/>
    </row>
    <row r="19" spans="1:25">
      <c r="A19" s="95"/>
      <c r="B19" s="2" t="s">
        <v>3</v>
      </c>
      <c r="C19" s="86"/>
      <c r="D19" s="88"/>
      <c r="E19" s="7">
        <f>(8*F19)+(H19+I19+J19+K19+L19+M19+N19+O19+P19+Q19-F19)*1</f>
        <v>37</v>
      </c>
      <c r="F19" s="2">
        <f t="shared" si="0"/>
        <v>1</v>
      </c>
      <c r="G19" s="86"/>
      <c r="H19" s="71"/>
      <c r="I19" s="71">
        <v>30</v>
      </c>
      <c r="J19" s="71"/>
      <c r="K19" s="71"/>
      <c r="L19" s="71"/>
      <c r="M19" s="71"/>
      <c r="N19" s="71"/>
      <c r="O19" s="71"/>
      <c r="P19" s="71"/>
      <c r="Q19" s="72"/>
      <c r="S19" s="78" t="s">
        <v>36</v>
      </c>
      <c r="T19" s="79">
        <v>759</v>
      </c>
      <c r="U19" s="79">
        <v>2187</v>
      </c>
      <c r="W19" s="78"/>
      <c r="X19" s="79"/>
      <c r="Y19" s="79"/>
    </row>
    <row r="20" spans="1:25" ht="13.8" thickBot="1">
      <c r="A20" s="96"/>
      <c r="B20" s="12" t="s">
        <v>4</v>
      </c>
      <c r="C20" s="87"/>
      <c r="D20" s="89"/>
      <c r="E20" s="13">
        <f>(5*F20)+(H20+I20+J20+K20+L20+M20+N20+O20+P20+Q20-F20)*1</f>
        <v>17</v>
      </c>
      <c r="F20" s="12">
        <f t="shared" si="0"/>
        <v>1</v>
      </c>
      <c r="G20" s="87"/>
      <c r="H20" s="74"/>
      <c r="I20" s="74"/>
      <c r="J20" s="74"/>
      <c r="K20" s="74">
        <v>13</v>
      </c>
      <c r="L20" s="74"/>
      <c r="M20" s="74"/>
      <c r="N20" s="74"/>
      <c r="O20" s="74"/>
      <c r="P20" s="74"/>
      <c r="Q20" s="75"/>
      <c r="S20" s="81" t="s">
        <v>70</v>
      </c>
      <c r="T20" s="82">
        <v>636</v>
      </c>
      <c r="U20" s="82">
        <v>1986</v>
      </c>
      <c r="W20" s="78"/>
      <c r="X20" s="79"/>
      <c r="Y20" s="79"/>
    </row>
    <row r="21" spans="1:25" ht="13.8" thickBot="1">
      <c r="S21" s="19" t="s">
        <v>30</v>
      </c>
      <c r="T21" s="20">
        <f>SUM(T15:T20)</f>
        <v>4305</v>
      </c>
      <c r="U21" s="21">
        <f>SUM(U15:U20)</f>
        <v>11142</v>
      </c>
    </row>
    <row r="22" spans="1:25">
      <c r="A22" s="47" t="s">
        <v>1</v>
      </c>
      <c r="B22" s="23">
        <f>C3/100</f>
        <v>1.31</v>
      </c>
      <c r="C22" s="14"/>
      <c r="D22" s="15"/>
      <c r="E22" s="84">
        <f>U$24*(B22+1)*(U25+1)*(U26+1)*IF(B24=0,1,B24+1)</f>
        <v>114959.11350000001</v>
      </c>
      <c r="F22" s="85"/>
      <c r="G22" s="85"/>
    </row>
    <row r="23" spans="1:25" ht="13.8" thickBot="1">
      <c r="A23" s="52" t="s">
        <v>5</v>
      </c>
      <c r="B23" s="53">
        <f>C6/100</f>
        <v>0.52500000000000002</v>
      </c>
      <c r="C23" s="54"/>
      <c r="D23" s="55"/>
      <c r="E23" s="84">
        <f>T$24*(B23+1)*(T25+1)*(T26+1)</f>
        <v>10350.48</v>
      </c>
      <c r="F23" s="85"/>
      <c r="G23" s="85"/>
      <c r="T23" s="3" t="s">
        <v>22</v>
      </c>
      <c r="U23" s="3" t="s">
        <v>23</v>
      </c>
    </row>
    <row r="24" spans="1:25" ht="13.8" thickBot="1">
      <c r="A24" s="56" t="s">
        <v>123</v>
      </c>
      <c r="B24" s="24">
        <f>C9/100</f>
        <v>0</v>
      </c>
      <c r="C24" s="14"/>
      <c r="D24" s="15"/>
      <c r="E24" s="51"/>
      <c r="S24" s="19" t="s">
        <v>39</v>
      </c>
      <c r="T24" s="20">
        <f>+T12+T21</f>
        <v>5656</v>
      </c>
      <c r="U24" s="21">
        <f>+U12+U21</f>
        <v>32107</v>
      </c>
    </row>
    <row r="25" spans="1:25">
      <c r="A25" s="8" t="s">
        <v>38</v>
      </c>
      <c r="B25" s="22">
        <f>C15/100</f>
        <v>0</v>
      </c>
      <c r="C25" s="14"/>
      <c r="D25" s="15"/>
      <c r="S25" s="4" t="s">
        <v>57</v>
      </c>
      <c r="T25" s="80">
        <v>0.2</v>
      </c>
      <c r="U25" s="80">
        <v>0.55000000000000004</v>
      </c>
    </row>
    <row r="26" spans="1:25">
      <c r="A26" s="3" t="s">
        <v>7</v>
      </c>
      <c r="B26" s="22">
        <f>C18/100</f>
        <v>0.54</v>
      </c>
      <c r="C26" s="14"/>
      <c r="D26" s="15"/>
      <c r="S26" s="4" t="s">
        <v>58</v>
      </c>
      <c r="T26" s="80"/>
      <c r="U26" s="80"/>
    </row>
  </sheetData>
  <mergeCells count="26">
    <mergeCell ref="E23:G23"/>
    <mergeCell ref="G3:G5"/>
    <mergeCell ref="A6:A8"/>
    <mergeCell ref="C6:C8"/>
    <mergeCell ref="G6:G8"/>
    <mergeCell ref="E22:G22"/>
    <mergeCell ref="A18:A20"/>
    <mergeCell ref="C18:C20"/>
    <mergeCell ref="G18:G20"/>
    <mergeCell ref="D3:D5"/>
    <mergeCell ref="D6:D8"/>
    <mergeCell ref="D12:D14"/>
    <mergeCell ref="D15:D17"/>
    <mergeCell ref="D18:D20"/>
    <mergeCell ref="A12:A14"/>
    <mergeCell ref="C12:C14"/>
    <mergeCell ref="G12:G14"/>
    <mergeCell ref="A15:A17"/>
    <mergeCell ref="C15:C17"/>
    <mergeCell ref="G15:G17"/>
    <mergeCell ref="A3:A5"/>
    <mergeCell ref="C3:C5"/>
    <mergeCell ref="A9:A11"/>
    <mergeCell ref="C9:C11"/>
    <mergeCell ref="D9:D11"/>
    <mergeCell ref="G9:G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6"/>
  <sheetViews>
    <sheetView workbookViewId="0">
      <selection activeCell="D30" sqref="D30"/>
    </sheetView>
  </sheetViews>
  <sheetFormatPr defaultRowHeight="13.2"/>
  <cols>
    <col min="1" max="1" width="16.77734375" customWidth="1"/>
    <col min="2" max="2" width="6.77734375" style="1" customWidth="1"/>
    <col min="3" max="3" width="5.77734375" style="1" customWidth="1"/>
    <col min="4" max="4" width="6.77734375" style="1" customWidth="1"/>
    <col min="5" max="6" width="5.77734375" style="1" customWidth="1"/>
    <col min="7" max="17" width="3.77734375" customWidth="1"/>
    <col min="18" max="18" width="2.77734375" customWidth="1"/>
    <col min="19" max="19" width="24" bestFit="1" customWidth="1"/>
    <col min="20" max="20" width="6.5546875" bestFit="1" customWidth="1"/>
    <col min="21" max="21" width="7.5546875" bestFit="1" customWidth="1"/>
    <col min="22" max="22" width="2.77734375" customWidth="1"/>
    <col min="23" max="23" width="24" bestFit="1" customWidth="1"/>
    <col min="24" max="24" width="6.5546875" bestFit="1" customWidth="1"/>
    <col min="25" max="25" width="7.5546875" bestFit="1" customWidth="1"/>
    <col min="26" max="37" width="5.77734375" customWidth="1"/>
  </cols>
  <sheetData>
    <row r="1" spans="1:25" ht="13.8" thickBot="1">
      <c r="A1" t="s">
        <v>20</v>
      </c>
      <c r="B1" s="16">
        <v>51350</v>
      </c>
      <c r="S1" s="17" t="s">
        <v>21</v>
      </c>
      <c r="T1" s="3" t="s">
        <v>22</v>
      </c>
      <c r="U1" s="3" t="s">
        <v>23</v>
      </c>
      <c r="W1" s="17" t="s">
        <v>127</v>
      </c>
      <c r="X1" s="3" t="s">
        <v>22</v>
      </c>
      <c r="Y1" s="3" t="s">
        <v>23</v>
      </c>
    </row>
    <row r="2" spans="1:25" s="1" customFormat="1" ht="13.8" thickBot="1">
      <c r="A2" s="5" t="s">
        <v>12</v>
      </c>
      <c r="B2" s="5" t="s">
        <v>13</v>
      </c>
      <c r="C2" s="5" t="s">
        <v>14</v>
      </c>
      <c r="D2" s="5" t="s">
        <v>19</v>
      </c>
      <c r="E2" s="5" t="s">
        <v>16</v>
      </c>
      <c r="F2" s="5" t="s">
        <v>15</v>
      </c>
      <c r="G2" s="66" t="s">
        <v>126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  <c r="O2" s="5">
        <v>8</v>
      </c>
      <c r="P2" s="5">
        <v>9</v>
      </c>
      <c r="Q2" s="65">
        <v>10</v>
      </c>
      <c r="S2" s="78" t="s">
        <v>88</v>
      </c>
      <c r="T2" s="79">
        <v>158</v>
      </c>
      <c r="U2" s="79">
        <v>2442</v>
      </c>
      <c r="W2" s="78" t="s">
        <v>93</v>
      </c>
      <c r="X2" s="79">
        <v>105</v>
      </c>
      <c r="Y2" s="79">
        <v>1217</v>
      </c>
    </row>
    <row r="3" spans="1:25">
      <c r="A3" s="97" t="s">
        <v>1</v>
      </c>
      <c r="B3" s="10" t="s">
        <v>2</v>
      </c>
      <c r="C3" s="90">
        <f>SUM(E3:E5)+SUM(E12:E14)+D3</f>
        <v>137.5</v>
      </c>
      <c r="D3" s="90">
        <f>IF(G3="",0,11+(G3-1)*1)</f>
        <v>30</v>
      </c>
      <c r="E3" s="11">
        <f>(6.5*F3)+(H3+I3+J3+K3+L3+M3+N3+O3+P3+Q3-F3)*0.5</f>
        <v>66</v>
      </c>
      <c r="F3" s="10">
        <f t="shared" ref="F3:F20" si="0">COUNT(H3:Q3)</f>
        <v>4</v>
      </c>
      <c r="G3" s="91">
        <v>20</v>
      </c>
      <c r="H3" s="68">
        <v>30</v>
      </c>
      <c r="I3" s="68"/>
      <c r="J3" s="68"/>
      <c r="K3" s="68">
        <v>20</v>
      </c>
      <c r="L3" s="68">
        <v>18</v>
      </c>
      <c r="M3" s="68"/>
      <c r="N3" s="68">
        <v>16</v>
      </c>
      <c r="O3" s="68"/>
      <c r="P3" s="68"/>
      <c r="Q3" s="69"/>
      <c r="S3" s="78" t="s">
        <v>90</v>
      </c>
      <c r="T3" s="79">
        <v>198</v>
      </c>
      <c r="U3" s="79">
        <v>2937</v>
      </c>
      <c r="W3" s="78"/>
      <c r="X3" s="79"/>
      <c r="Y3" s="79"/>
    </row>
    <row r="4" spans="1:25">
      <c r="A4" s="95"/>
      <c r="B4" s="2" t="s">
        <v>3</v>
      </c>
      <c r="C4" s="86"/>
      <c r="D4" s="88"/>
      <c r="E4" s="7">
        <f>(3.5*F4)+(H4+I4+J4+K4+L4+M4+N4+O4+P4+Q4-F4)*0.5</f>
        <v>18.5</v>
      </c>
      <c r="F4" s="2">
        <f t="shared" si="0"/>
        <v>2</v>
      </c>
      <c r="G4" s="92"/>
      <c r="H4" s="71"/>
      <c r="I4" s="71"/>
      <c r="J4" s="71"/>
      <c r="K4" s="71"/>
      <c r="L4" s="71"/>
      <c r="M4" s="71"/>
      <c r="N4" s="71"/>
      <c r="O4" s="71">
        <v>13</v>
      </c>
      <c r="P4" s="71">
        <v>12</v>
      </c>
      <c r="Q4" s="72"/>
      <c r="S4" s="78" t="s">
        <v>91</v>
      </c>
      <c r="T4" s="79">
        <v>204</v>
      </c>
      <c r="U4" s="79">
        <v>2815</v>
      </c>
      <c r="W4" s="78"/>
      <c r="X4" s="79"/>
      <c r="Y4" s="79"/>
    </row>
    <row r="5" spans="1:25" ht="13.8" thickBot="1">
      <c r="A5" s="96"/>
      <c r="B5" s="12" t="s">
        <v>4</v>
      </c>
      <c r="C5" s="87"/>
      <c r="D5" s="89"/>
      <c r="E5" s="13">
        <f>(0.5*F5)+(H5+I5+J5+K5+L5+M5+N5+O5+P5+Q5-F5)*0.5</f>
        <v>0</v>
      </c>
      <c r="F5" s="12">
        <f t="shared" si="0"/>
        <v>0</v>
      </c>
      <c r="G5" s="93"/>
      <c r="H5" s="74"/>
      <c r="I5" s="74"/>
      <c r="J5" s="74"/>
      <c r="K5" s="74"/>
      <c r="L5" s="74"/>
      <c r="M5" s="74"/>
      <c r="N5" s="74"/>
      <c r="O5" s="74"/>
      <c r="P5" s="74"/>
      <c r="Q5" s="75"/>
      <c r="S5" s="78" t="s">
        <v>91</v>
      </c>
      <c r="T5" s="79">
        <v>111</v>
      </c>
      <c r="U5" s="79">
        <v>2536</v>
      </c>
      <c r="W5" s="78"/>
      <c r="X5" s="79"/>
      <c r="Y5" s="79"/>
    </row>
    <row r="6" spans="1:25">
      <c r="A6" s="94" t="s">
        <v>5</v>
      </c>
      <c r="B6" s="6" t="s">
        <v>2</v>
      </c>
      <c r="C6" s="88">
        <f>SUM(E6:E8)+D6</f>
        <v>49.5</v>
      </c>
      <c r="D6" s="88">
        <f>IF(G6="",0,11+(G6-1)*1)</f>
        <v>0</v>
      </c>
      <c r="E6" s="9">
        <f>(6.5*F6)+(H6+I6+J6+K6+L6+M6+N6+O6+P6+Q6-F6)*0.5</f>
        <v>0</v>
      </c>
      <c r="F6" s="6">
        <f t="shared" si="0"/>
        <v>0</v>
      </c>
      <c r="G6" s="91"/>
      <c r="H6" s="76"/>
      <c r="I6" s="76"/>
      <c r="J6" s="76"/>
      <c r="K6" s="76"/>
      <c r="L6" s="76"/>
      <c r="M6" s="76"/>
      <c r="N6" s="76"/>
      <c r="O6" s="76"/>
      <c r="P6" s="76"/>
      <c r="Q6" s="69"/>
      <c r="S6" s="78" t="s">
        <v>92</v>
      </c>
      <c r="T6" s="79">
        <v>193</v>
      </c>
      <c r="U6" s="79">
        <v>2115</v>
      </c>
      <c r="W6" s="78"/>
      <c r="X6" s="79"/>
      <c r="Y6" s="79"/>
    </row>
    <row r="7" spans="1:25">
      <c r="A7" s="95"/>
      <c r="B7" s="2" t="s">
        <v>3</v>
      </c>
      <c r="C7" s="86"/>
      <c r="D7" s="88"/>
      <c r="E7" s="7">
        <f>(3.5*F7)+(H7+I7+J7+K7+L7+M7+N7+O7+P7+Q7-F7)*0.5</f>
        <v>29</v>
      </c>
      <c r="F7" s="2">
        <f t="shared" si="0"/>
        <v>2</v>
      </c>
      <c r="G7" s="92"/>
      <c r="H7" s="71"/>
      <c r="I7" s="71">
        <v>24</v>
      </c>
      <c r="J7" s="71">
        <v>22</v>
      </c>
      <c r="K7" s="71"/>
      <c r="L7" s="71"/>
      <c r="M7" s="71"/>
      <c r="N7" s="71"/>
      <c r="O7" s="71"/>
      <c r="P7" s="71"/>
      <c r="Q7" s="72"/>
      <c r="S7" s="78" t="s">
        <v>124</v>
      </c>
      <c r="T7" s="79">
        <v>132</v>
      </c>
      <c r="U7" s="79">
        <v>2154</v>
      </c>
      <c r="W7" s="78"/>
      <c r="X7" s="79"/>
      <c r="Y7" s="79"/>
    </row>
    <row r="8" spans="1:25" ht="13.8" thickBot="1">
      <c r="A8" s="96"/>
      <c r="B8" s="12" t="s">
        <v>4</v>
      </c>
      <c r="C8" s="87"/>
      <c r="D8" s="89"/>
      <c r="E8" s="13">
        <f>(0.5*F8)+(H8+I8+J8+K8+L8+M8+N8+O8+P8+Q8-F8)*0.5</f>
        <v>20.5</v>
      </c>
      <c r="F8" s="12">
        <f t="shared" si="0"/>
        <v>3</v>
      </c>
      <c r="G8" s="93"/>
      <c r="H8" s="74"/>
      <c r="I8" s="74"/>
      <c r="J8" s="74"/>
      <c r="K8" s="74"/>
      <c r="L8" s="74">
        <v>18</v>
      </c>
      <c r="M8" s="74">
        <v>11</v>
      </c>
      <c r="N8" s="74"/>
      <c r="O8" s="74"/>
      <c r="P8" s="74">
        <v>12</v>
      </c>
      <c r="Q8" s="75"/>
      <c r="S8" s="78" t="s">
        <v>94</v>
      </c>
      <c r="T8" s="79">
        <v>91</v>
      </c>
      <c r="U8" s="79">
        <v>1276</v>
      </c>
      <c r="W8" s="78"/>
      <c r="X8" s="79"/>
      <c r="Y8" s="79"/>
    </row>
    <row r="9" spans="1:25">
      <c r="A9" s="98" t="s">
        <v>122</v>
      </c>
      <c r="B9" s="6" t="s">
        <v>2</v>
      </c>
      <c r="C9" s="99">
        <f>SUM(E9:E11)</f>
        <v>3.5467437349517272</v>
      </c>
      <c r="D9" s="88" t="s">
        <v>18</v>
      </c>
      <c r="E9" s="48">
        <f>IF(H9="",0,(16+H9*0.2)^0.75-(16+H9*0.2)^0.5)+IF(I9="",0,(16+I9*0.2)^0.75-(16+I9*0.2)^0.5)+IF(J9="",0,(16+J9*0.2)^0.75-(16+J9*0.2)^0.5)+IF(K9="",0,(16+K9*0.2)^0.75-(16+K9*0.2)^0.5)+IF(L9="",0,(16+L9*0.2)^0.75-(16+L9*0.2)^0.5)+IF(M9="",0,(16+M9*0.2)^0.75-(16+M9*0.2)^0.5)+IF(N9="",0,(16+N9*0.2)^0.75-(16+N9*0.2)^0.5)+IF(O9="",0,(16+O9*0.2)^0.75-(16+O9*0.2)^0.5)+IF(P9="",0,(16+P9*0.2)^0.75-(16+P9*0.2)^0.5)+IF(Q9="",0,(16+Q9*0.2)^0.75-(16+Q9*0.2)^0.5)</f>
        <v>0</v>
      </c>
      <c r="F9" s="6">
        <f t="shared" si="0"/>
        <v>0</v>
      </c>
      <c r="G9" s="86"/>
      <c r="H9" s="76"/>
      <c r="I9" s="76"/>
      <c r="J9" s="76"/>
      <c r="K9" s="76"/>
      <c r="L9" s="76"/>
      <c r="M9" s="76"/>
      <c r="N9" s="76"/>
      <c r="O9" s="76"/>
      <c r="P9" s="76"/>
      <c r="Q9" s="77"/>
      <c r="S9" s="78" t="s">
        <v>89</v>
      </c>
      <c r="T9" s="79">
        <v>74</v>
      </c>
      <c r="U9" s="79">
        <v>1996</v>
      </c>
      <c r="W9" s="78"/>
      <c r="X9" s="79"/>
      <c r="Y9" s="79"/>
    </row>
    <row r="10" spans="1:25">
      <c r="A10" s="95"/>
      <c r="B10" s="3" t="s">
        <v>3</v>
      </c>
      <c r="C10" s="99"/>
      <c r="D10" s="88"/>
      <c r="E10" s="50">
        <f>IF(H10="",0,(12+H10*0.2)^0.75-(12+H10*0.2)^0.5)+IF(I10="",0,(12+I10*0.2)^0.75-(12+I10*0.2)^0.5)+IF(J10="",0,(12+J10*0.2)^0.75-(12+J10*0.2)^0.5)+IF(K10="",0,(12+K10*0.2)^0.75-(12+K10*0.2)^0.5)+IF(L10="",0,(12+L10*0.2)^0.75-(12+L10*0.2)^0.5)+IF(M10="",0,(12+M10*0.2)^0.75-(12+M10*0.2)^0.5)+IF(N10="",0,(12+N10*0.2)^0.75-(12+N10*0.2)^0.5)+IF(O10="",0,(12+O10*0.2)^0.75-(12+O10*0.2)^0.5)+IF(P10="",0,(12+P10*0.2)^0.75-(12+P10*0.2)^0.5)+IF(Q10="",0,(12+Q10*0.2)^0.75-(12+Q10*0.2)^0.5)</f>
        <v>3.5467437349517272</v>
      </c>
      <c r="F10" s="3">
        <f t="shared" si="0"/>
        <v>1</v>
      </c>
      <c r="G10" s="86"/>
      <c r="H10" s="71"/>
      <c r="I10" s="71"/>
      <c r="J10" s="71"/>
      <c r="K10" s="71"/>
      <c r="L10" s="71"/>
      <c r="M10" s="71">
        <v>11</v>
      </c>
      <c r="N10" s="71"/>
      <c r="O10" s="71"/>
      <c r="P10" s="71"/>
      <c r="Q10" s="72"/>
      <c r="S10" s="78" t="s">
        <v>95</v>
      </c>
      <c r="T10" s="79">
        <v>126</v>
      </c>
      <c r="U10" s="79">
        <v>2304</v>
      </c>
      <c r="W10" s="78"/>
      <c r="X10" s="79"/>
      <c r="Y10" s="79"/>
    </row>
    <row r="11" spans="1:25" ht="13.8" thickBot="1">
      <c r="A11" s="96"/>
      <c r="B11" s="12" t="s">
        <v>4</v>
      </c>
      <c r="C11" s="100"/>
      <c r="D11" s="89"/>
      <c r="E11" s="49">
        <f>IF(H11="",0,(8+H11*0.2)^0.75-(8+H11*0.2)^0.5)+IF(I11="",0,(8+I11*0.2)^0.75-(8+I11*0.2)^0.5)+IF(J11="",0,(8+J11*0.2)^0.75-(8+J11*0.2)^0.5)+IF(K11="",0,(8+K11*0.2)^0.75-(8+K11*0.2)^0.5)+IF(L11="",0,(8+L11*0.2)^0.75-(8+L11*0.2)^0.5)+IF(M11="",0,(8+M11*0.2)^0.75-(8+M11*0.2)^0.5)+IF(N11="",0,(8+N11*0.2)^0.75-(8+N11*0.2)^0.5)+IF(O11="",0,(8+O11*0.2)^0.75-(8+O11*0.2)^0.5)+IF(P11="",0,(8+P11*0.2)^0.75-(8+P11*0.2)^0.5)+IF(Q11="",0,(8+Q11*0.2)^0.75-(8+Q11*0.2)^0.5)</f>
        <v>0</v>
      </c>
      <c r="F11" s="12">
        <f t="shared" si="0"/>
        <v>0</v>
      </c>
      <c r="G11" s="87"/>
      <c r="H11" s="74"/>
      <c r="I11" s="74"/>
      <c r="J11" s="74"/>
      <c r="K11" s="74"/>
      <c r="L11" s="74"/>
      <c r="M11" s="74"/>
      <c r="N11" s="74"/>
      <c r="O11" s="74"/>
      <c r="P11" s="74"/>
      <c r="Q11" s="75"/>
      <c r="S11" s="81" t="s">
        <v>96</v>
      </c>
      <c r="T11" s="82">
        <v>163</v>
      </c>
      <c r="U11" s="82">
        <v>2031</v>
      </c>
      <c r="W11" s="78"/>
      <c r="X11" s="79"/>
      <c r="Y11" s="79"/>
    </row>
    <row r="12" spans="1:25" ht="13.8" thickBot="1">
      <c r="A12" s="94" t="s">
        <v>6</v>
      </c>
      <c r="B12" s="6" t="s">
        <v>2</v>
      </c>
      <c r="C12" s="88" t="s">
        <v>18</v>
      </c>
      <c r="D12" s="88" t="s">
        <v>18</v>
      </c>
      <c r="E12" s="9">
        <f>(0.5*F12)+(H12+I12+J12+K12+L12+M12+N12+O12+P12+Q12-F12)*0.5</f>
        <v>23</v>
      </c>
      <c r="F12" s="6">
        <f t="shared" si="0"/>
        <v>2</v>
      </c>
      <c r="G12" s="86"/>
      <c r="H12" s="76"/>
      <c r="I12" s="76">
        <v>24</v>
      </c>
      <c r="J12" s="76">
        <v>22</v>
      </c>
      <c r="K12" s="76"/>
      <c r="L12" s="76"/>
      <c r="M12" s="76"/>
      <c r="N12" s="76"/>
      <c r="O12" s="76"/>
      <c r="P12" s="76"/>
      <c r="Q12" s="77"/>
      <c r="S12" s="19" t="s">
        <v>30</v>
      </c>
      <c r="T12" s="20">
        <f>SUM(T2:T11)</f>
        <v>1450</v>
      </c>
      <c r="U12" s="21">
        <f>SUM(U2:U11)</f>
        <v>22606</v>
      </c>
      <c r="W12" s="78"/>
      <c r="X12" s="83"/>
      <c r="Y12" s="83"/>
    </row>
    <row r="13" spans="1:25">
      <c r="A13" s="95"/>
      <c r="B13" s="2" t="s">
        <v>3</v>
      </c>
      <c r="C13" s="86"/>
      <c r="D13" s="88"/>
      <c r="E13" s="7">
        <f>(0.5*F13)+(H13+I13+J13+K13+L13+M13+N13+O13+P13+Q13-F13)*0.5</f>
        <v>0</v>
      </c>
      <c r="F13" s="2">
        <f t="shared" si="0"/>
        <v>0</v>
      </c>
      <c r="G13" s="86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1:25" ht="13.8" thickBot="1">
      <c r="A14" s="96"/>
      <c r="B14" s="12" t="s">
        <v>4</v>
      </c>
      <c r="C14" s="87"/>
      <c r="D14" s="89"/>
      <c r="E14" s="13">
        <f>(0.35*F14)+(H14+I14+J14+K14+L14+M14+N14+O14+P14+Q14-F14)*0.35</f>
        <v>0</v>
      </c>
      <c r="F14" s="12">
        <f t="shared" si="0"/>
        <v>0</v>
      </c>
      <c r="G14" s="87"/>
      <c r="H14" s="74"/>
      <c r="I14" s="74"/>
      <c r="J14" s="74"/>
      <c r="K14" s="74"/>
      <c r="L14" s="74"/>
      <c r="M14" s="74"/>
      <c r="N14" s="74"/>
      <c r="O14" s="74"/>
      <c r="P14" s="74"/>
      <c r="Q14" s="75"/>
      <c r="S14" s="17" t="s">
        <v>31</v>
      </c>
      <c r="T14" s="3" t="s">
        <v>22</v>
      </c>
      <c r="U14" s="3" t="s">
        <v>23</v>
      </c>
      <c r="W14" s="17" t="s">
        <v>128</v>
      </c>
      <c r="X14" s="3" t="s">
        <v>22</v>
      </c>
      <c r="Y14" s="3" t="s">
        <v>23</v>
      </c>
    </row>
    <row r="15" spans="1:25">
      <c r="A15" s="98" t="s">
        <v>17</v>
      </c>
      <c r="B15" s="6" t="s">
        <v>2</v>
      </c>
      <c r="C15" s="88">
        <f>SUM(E15:E17)</f>
        <v>30</v>
      </c>
      <c r="D15" s="88" t="s">
        <v>18</v>
      </c>
      <c r="E15" s="9"/>
      <c r="F15" s="6">
        <f t="shared" si="0"/>
        <v>0</v>
      </c>
      <c r="G15" s="86"/>
      <c r="H15" s="76"/>
      <c r="I15" s="76"/>
      <c r="J15" s="76"/>
      <c r="K15" s="76"/>
      <c r="L15" s="76"/>
      <c r="M15" s="76"/>
      <c r="N15" s="76"/>
      <c r="O15" s="76"/>
      <c r="P15" s="76"/>
      <c r="Q15" s="77"/>
      <c r="S15" s="78" t="s">
        <v>82</v>
      </c>
      <c r="T15" s="79">
        <v>291</v>
      </c>
      <c r="U15" s="79">
        <v>1220</v>
      </c>
      <c r="W15" s="78" t="s">
        <v>121</v>
      </c>
      <c r="X15" s="79">
        <v>840</v>
      </c>
      <c r="Y15" s="79">
        <v>1290</v>
      </c>
    </row>
    <row r="16" spans="1:25">
      <c r="A16" s="95"/>
      <c r="B16" s="2" t="s">
        <v>3</v>
      </c>
      <c r="C16" s="86"/>
      <c r="D16" s="88"/>
      <c r="E16" s="7">
        <f>(11*F16)+(H16+I16+J16+K16+L16+M16+N16+O16+P16+Q16-F16)*1</f>
        <v>0</v>
      </c>
      <c r="F16" s="2">
        <f t="shared" si="0"/>
        <v>0</v>
      </c>
      <c r="G16" s="86"/>
      <c r="H16" s="71"/>
      <c r="I16" s="71"/>
      <c r="J16" s="71"/>
      <c r="K16" s="71"/>
      <c r="L16" s="71"/>
      <c r="M16" s="71"/>
      <c r="N16" s="71"/>
      <c r="O16" s="71"/>
      <c r="P16" s="71"/>
      <c r="Q16" s="72"/>
      <c r="S16" s="78" t="s">
        <v>83</v>
      </c>
      <c r="T16" s="79">
        <v>633</v>
      </c>
      <c r="U16" s="79">
        <v>1899</v>
      </c>
      <c r="W16" s="78"/>
      <c r="X16" s="79"/>
      <c r="Y16" s="79"/>
    </row>
    <row r="17" spans="1:25" ht="13.8" thickBot="1">
      <c r="A17" s="96"/>
      <c r="B17" s="12" t="s">
        <v>4</v>
      </c>
      <c r="C17" s="87"/>
      <c r="D17" s="89"/>
      <c r="E17" s="13">
        <f>(1*F17)+(H17+I17+J17+K17+L17+M17+N17+O17+P17+Q17-F17)*1</f>
        <v>30</v>
      </c>
      <c r="F17" s="12">
        <f t="shared" si="0"/>
        <v>1</v>
      </c>
      <c r="G17" s="87"/>
      <c r="H17" s="74">
        <v>30</v>
      </c>
      <c r="I17" s="74"/>
      <c r="J17" s="74"/>
      <c r="K17" s="74"/>
      <c r="L17" s="74"/>
      <c r="M17" s="74"/>
      <c r="N17" s="74"/>
      <c r="O17" s="74"/>
      <c r="P17" s="74"/>
      <c r="Q17" s="75"/>
      <c r="S17" s="78" t="s">
        <v>84</v>
      </c>
      <c r="T17" s="79">
        <v>600</v>
      </c>
      <c r="U17" s="79">
        <v>1680</v>
      </c>
      <c r="W17" s="78"/>
      <c r="X17" s="79"/>
      <c r="Y17" s="79"/>
    </row>
    <row r="18" spans="1:25">
      <c r="A18" s="94" t="s">
        <v>7</v>
      </c>
      <c r="B18" s="6" t="s">
        <v>2</v>
      </c>
      <c r="C18" s="88">
        <f>SUM(E18:E20)</f>
        <v>0</v>
      </c>
      <c r="D18" s="88" t="s">
        <v>18</v>
      </c>
      <c r="E18" s="9">
        <f>(11*F18)+(H18+I18+J18+K18+L18+M18+N18+O18+P18+Q18-F18)*1</f>
        <v>0</v>
      </c>
      <c r="F18" s="6">
        <f t="shared" si="0"/>
        <v>0</v>
      </c>
      <c r="G18" s="86"/>
      <c r="H18" s="76"/>
      <c r="I18" s="76"/>
      <c r="J18" s="76"/>
      <c r="K18" s="76"/>
      <c r="L18" s="76"/>
      <c r="M18" s="76"/>
      <c r="N18" s="76"/>
      <c r="O18" s="76"/>
      <c r="P18" s="76"/>
      <c r="Q18" s="77"/>
      <c r="S18" s="78" t="s">
        <v>85</v>
      </c>
      <c r="T18" s="79">
        <v>678</v>
      </c>
      <c r="U18" s="79">
        <v>1602</v>
      </c>
      <c r="W18" s="78"/>
      <c r="X18" s="79"/>
      <c r="Y18" s="79"/>
    </row>
    <row r="19" spans="1:25">
      <c r="A19" s="95"/>
      <c r="B19" s="2" t="s">
        <v>3</v>
      </c>
      <c r="C19" s="86"/>
      <c r="D19" s="88"/>
      <c r="E19" s="7">
        <f>(8*F19)+(H19+I19+J19+K19+L19+M19+N19+O19+P19+Q19-F19)*1</f>
        <v>0</v>
      </c>
      <c r="F19" s="2">
        <f t="shared" si="0"/>
        <v>0</v>
      </c>
      <c r="G19" s="86"/>
      <c r="H19" s="71"/>
      <c r="I19" s="71"/>
      <c r="J19" s="71"/>
      <c r="K19" s="71"/>
      <c r="L19" s="71"/>
      <c r="M19" s="71"/>
      <c r="N19" s="71"/>
      <c r="O19" s="71"/>
      <c r="P19" s="71"/>
      <c r="Q19" s="72"/>
      <c r="S19" s="78" t="s">
        <v>86</v>
      </c>
      <c r="T19" s="79">
        <v>660</v>
      </c>
      <c r="U19" s="79">
        <v>1452</v>
      </c>
      <c r="W19" s="78"/>
      <c r="X19" s="79"/>
      <c r="Y19" s="79"/>
    </row>
    <row r="20" spans="1:25" ht="13.8" thickBot="1">
      <c r="A20" s="96"/>
      <c r="B20" s="12" t="s">
        <v>4</v>
      </c>
      <c r="C20" s="87"/>
      <c r="D20" s="89"/>
      <c r="E20" s="13">
        <f>(5*F20)+(H20+I20+J20+K20+L20+M20+N20+O20+P20+Q20-F20)*1</f>
        <v>0</v>
      </c>
      <c r="F20" s="12">
        <f t="shared" si="0"/>
        <v>0</v>
      </c>
      <c r="G20" s="87"/>
      <c r="H20" s="74"/>
      <c r="I20" s="74"/>
      <c r="J20" s="74"/>
      <c r="K20" s="74"/>
      <c r="L20" s="74"/>
      <c r="M20" s="74"/>
      <c r="N20" s="74"/>
      <c r="O20" s="74"/>
      <c r="P20" s="74"/>
      <c r="Q20" s="75"/>
      <c r="S20" s="81" t="s">
        <v>87</v>
      </c>
      <c r="T20" s="82">
        <v>690</v>
      </c>
      <c r="U20" s="82">
        <v>1632</v>
      </c>
      <c r="W20" s="78"/>
      <c r="X20" s="79"/>
      <c r="Y20" s="79"/>
    </row>
    <row r="21" spans="1:25" ht="13.8" thickBot="1">
      <c r="S21" s="19" t="s">
        <v>30</v>
      </c>
      <c r="T21" s="20">
        <f>SUM(T15:T20)</f>
        <v>3552</v>
      </c>
      <c r="U21" s="21">
        <f>SUM(U15:U20)</f>
        <v>9485</v>
      </c>
    </row>
    <row r="22" spans="1:25">
      <c r="A22" s="47" t="s">
        <v>1</v>
      </c>
      <c r="B22" s="23">
        <f>C3/100</f>
        <v>1.375</v>
      </c>
      <c r="C22" s="14"/>
      <c r="D22" s="15"/>
      <c r="E22" s="84">
        <f>U$24*(B22+1)*(U25+1)*(U26+1)*IF(B24=0,1,B24+1)</f>
        <v>118378.97345769071</v>
      </c>
      <c r="F22" s="85"/>
      <c r="G22" s="85"/>
    </row>
    <row r="23" spans="1:25" ht="13.8" thickBot="1">
      <c r="A23" s="52" t="s">
        <v>5</v>
      </c>
      <c r="B23" s="53">
        <f>C6/100</f>
        <v>0.495</v>
      </c>
      <c r="C23" s="54"/>
      <c r="D23" s="55"/>
      <c r="E23" s="84">
        <f>T$24*(B23+1)*(T25+1)*(T26+1)</f>
        <v>7477.9900000000007</v>
      </c>
      <c r="F23" s="85"/>
      <c r="G23" s="85"/>
      <c r="T23" s="3" t="s">
        <v>22</v>
      </c>
      <c r="U23" s="3" t="s">
        <v>23</v>
      </c>
    </row>
    <row r="24" spans="1:25" ht="13.8" thickBot="1">
      <c r="A24" s="56" t="s">
        <v>123</v>
      </c>
      <c r="B24" s="24">
        <f>C9/100</f>
        <v>3.5467437349517274E-2</v>
      </c>
      <c r="C24" s="14"/>
      <c r="D24" s="15"/>
      <c r="E24" s="51"/>
      <c r="S24" s="19" t="s">
        <v>39</v>
      </c>
      <c r="T24" s="20">
        <f>+T12+T21</f>
        <v>5002</v>
      </c>
      <c r="U24" s="21">
        <f>+U12+U21</f>
        <v>32091</v>
      </c>
    </row>
    <row r="25" spans="1:25">
      <c r="A25" s="8" t="s">
        <v>38</v>
      </c>
      <c r="B25" s="22">
        <f>C15/100</f>
        <v>0.3</v>
      </c>
      <c r="C25" s="14"/>
      <c r="D25" s="15"/>
      <c r="S25" s="4" t="s">
        <v>57</v>
      </c>
      <c r="T25" s="80"/>
      <c r="U25" s="80">
        <v>0.5</v>
      </c>
    </row>
    <row r="26" spans="1:25">
      <c r="A26" s="2" t="s">
        <v>7</v>
      </c>
      <c r="B26" s="22">
        <f>C18/100</f>
        <v>0</v>
      </c>
      <c r="C26" s="14"/>
      <c r="D26" s="15"/>
      <c r="S26" s="4" t="s">
        <v>58</v>
      </c>
      <c r="T26" s="80"/>
      <c r="U26" s="80"/>
    </row>
  </sheetData>
  <mergeCells count="26">
    <mergeCell ref="E23:G23"/>
    <mergeCell ref="G3:G5"/>
    <mergeCell ref="A6:A8"/>
    <mergeCell ref="C6:C8"/>
    <mergeCell ref="G6:G8"/>
    <mergeCell ref="E22:G22"/>
    <mergeCell ref="A18:A20"/>
    <mergeCell ref="C18:C20"/>
    <mergeCell ref="G18:G20"/>
    <mergeCell ref="D3:D5"/>
    <mergeCell ref="D6:D8"/>
    <mergeCell ref="D12:D14"/>
    <mergeCell ref="D15:D17"/>
    <mergeCell ref="D18:D20"/>
    <mergeCell ref="A12:A14"/>
    <mergeCell ref="C12:C14"/>
    <mergeCell ref="A15:A17"/>
    <mergeCell ref="C15:C17"/>
    <mergeCell ref="G15:G17"/>
    <mergeCell ref="A3:A5"/>
    <mergeCell ref="C3:C5"/>
    <mergeCell ref="A9:A11"/>
    <mergeCell ref="C9:C11"/>
    <mergeCell ref="D9:D11"/>
    <mergeCell ref="G9:G11"/>
    <mergeCell ref="G12:G1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20" sqref="D20"/>
    </sheetView>
  </sheetViews>
  <sheetFormatPr defaultRowHeight="13.2"/>
  <cols>
    <col min="1" max="1" width="18.33203125" style="1" bestFit="1" customWidth="1"/>
    <col min="2" max="7" width="10.77734375" customWidth="1"/>
  </cols>
  <sheetData>
    <row r="1" spans="1:7" s="1" customFormat="1" ht="13.8" thickBot="1">
      <c r="A1" s="38" t="s">
        <v>97</v>
      </c>
      <c r="B1" s="34" t="s">
        <v>0</v>
      </c>
      <c r="C1" s="32" t="s">
        <v>8</v>
      </c>
      <c r="D1" s="32" t="s">
        <v>9</v>
      </c>
      <c r="E1" s="32" t="s">
        <v>10</v>
      </c>
      <c r="F1" s="32" t="s">
        <v>11</v>
      </c>
      <c r="G1" s="33" t="s">
        <v>12</v>
      </c>
    </row>
    <row r="2" spans="1:7">
      <c r="A2" s="39" t="s">
        <v>20</v>
      </c>
      <c r="B2" s="35">
        <f>火!$B$1</f>
        <v>53762</v>
      </c>
      <c r="C2" s="30">
        <f>水!$B$1</f>
        <v>53434</v>
      </c>
      <c r="D2" s="30">
        <f>風!$B$1</f>
        <v>50688</v>
      </c>
      <c r="E2" s="30">
        <f>雷!$B$1</f>
        <v>54435</v>
      </c>
      <c r="F2" s="30">
        <f>光!$B$1</f>
        <v>53277</v>
      </c>
      <c r="G2" s="31">
        <f>闇!$B$1</f>
        <v>51350</v>
      </c>
    </row>
    <row r="3" spans="1:7">
      <c r="A3" s="40" t="s">
        <v>1</v>
      </c>
      <c r="B3" s="36">
        <f>火!$B$22</f>
        <v>1.06</v>
      </c>
      <c r="C3" s="25">
        <f>水!$B$22</f>
        <v>1.44</v>
      </c>
      <c r="D3" s="25">
        <f>風!$B$22</f>
        <v>1.33</v>
      </c>
      <c r="E3" s="25">
        <f>雷!$B$22</f>
        <v>1.2770000000000001</v>
      </c>
      <c r="F3" s="25">
        <f>光!$B$22</f>
        <v>1.31</v>
      </c>
      <c r="G3" s="27">
        <f>闇!$B$22</f>
        <v>1.375</v>
      </c>
    </row>
    <row r="4" spans="1:7">
      <c r="A4" s="40" t="s">
        <v>5</v>
      </c>
      <c r="B4" s="36">
        <f>火!B23</f>
        <v>0.89</v>
      </c>
      <c r="C4" s="25">
        <f>水!B23</f>
        <v>0.36</v>
      </c>
      <c r="D4" s="25">
        <f>風!B23</f>
        <v>0.26</v>
      </c>
      <c r="E4" s="25">
        <f>雷!B23</f>
        <v>0.12</v>
      </c>
      <c r="F4" s="25">
        <f>光!B23</f>
        <v>0.52500000000000002</v>
      </c>
      <c r="G4" s="27">
        <f>闇!B23</f>
        <v>0.495</v>
      </c>
    </row>
    <row r="5" spans="1:7">
      <c r="A5" s="40" t="s">
        <v>104</v>
      </c>
      <c r="B5" s="37">
        <f>火!$E$22</f>
        <v>106716.24</v>
      </c>
      <c r="C5" s="18">
        <f>水!$E$22</f>
        <v>126925.13999999998</v>
      </c>
      <c r="D5" s="18">
        <f>風!$E$22</f>
        <v>117271.23000000001</v>
      </c>
      <c r="E5" s="18">
        <f>雷!$E$22</f>
        <v>127321.30125000002</v>
      </c>
      <c r="F5" s="18">
        <f>光!$E$22</f>
        <v>114959.11350000001</v>
      </c>
      <c r="G5" s="26">
        <f>闇!$E$22</f>
        <v>118378.97345769071</v>
      </c>
    </row>
    <row r="6" spans="1:7" ht="13.8" thickBot="1">
      <c r="A6" s="41" t="s">
        <v>105</v>
      </c>
      <c r="B6" s="42">
        <f>火!$E$23</f>
        <v>10451.700000000001</v>
      </c>
      <c r="C6" s="43">
        <f>水!$E$23</f>
        <v>6878.8799999999992</v>
      </c>
      <c r="D6" s="43">
        <f>風!$E$23</f>
        <v>6394.5</v>
      </c>
      <c r="E6" s="43">
        <f>雷!$E$23</f>
        <v>7164.8640000000005</v>
      </c>
      <c r="F6" s="43">
        <f>光!$E$23</f>
        <v>10350.48</v>
      </c>
      <c r="G6" s="44">
        <f>闇!$E$23</f>
        <v>7477.9900000000007</v>
      </c>
    </row>
    <row r="7" spans="1:7">
      <c r="A7" s="57" t="s">
        <v>125</v>
      </c>
      <c r="B7" s="58">
        <f>火!B24</f>
        <v>0</v>
      </c>
      <c r="C7" s="59">
        <f>水!B24</f>
        <v>0</v>
      </c>
      <c r="D7" s="59">
        <f>風!B24</f>
        <v>0</v>
      </c>
      <c r="E7" s="59">
        <f>雷!B24</f>
        <v>0</v>
      </c>
      <c r="F7" s="59">
        <f>光!B24</f>
        <v>0</v>
      </c>
      <c r="G7" s="60">
        <f>闇!B24</f>
        <v>3.5467437349517274E-2</v>
      </c>
    </row>
    <row r="8" spans="1:7">
      <c r="A8" s="40" t="s">
        <v>98</v>
      </c>
      <c r="B8" s="36">
        <f>火!B25</f>
        <v>0.28999999999999998</v>
      </c>
      <c r="C8" s="25">
        <f>水!B25</f>
        <v>0</v>
      </c>
      <c r="D8" s="25">
        <f>風!B25</f>
        <v>0.51</v>
      </c>
      <c r="E8" s="25">
        <f>雷!B25</f>
        <v>0.21</v>
      </c>
      <c r="F8" s="25">
        <f>光!B25</f>
        <v>0</v>
      </c>
      <c r="G8" s="27">
        <f>闇!B25</f>
        <v>0.3</v>
      </c>
    </row>
    <row r="9" spans="1:7">
      <c r="A9" s="40" t="s">
        <v>99</v>
      </c>
      <c r="B9" s="36">
        <f>火!B26</f>
        <v>0</v>
      </c>
      <c r="C9" s="25">
        <f>水!B26</f>
        <v>0.16</v>
      </c>
      <c r="D9" s="25">
        <f>風!B26</f>
        <v>0</v>
      </c>
      <c r="E9" s="25">
        <f>雷!B26</f>
        <v>0.16</v>
      </c>
      <c r="F9" s="25">
        <f>光!B26</f>
        <v>0.54</v>
      </c>
      <c r="G9" s="27">
        <f>闇!B26</f>
        <v>0</v>
      </c>
    </row>
    <row r="10" spans="1:7">
      <c r="A10" s="40" t="s">
        <v>100</v>
      </c>
      <c r="B10" s="37">
        <f>火!$U$12</f>
        <v>21914</v>
      </c>
      <c r="C10" s="18">
        <f>水!$U$12</f>
        <v>21947</v>
      </c>
      <c r="D10" s="18">
        <f>風!$U$12</f>
        <v>20894</v>
      </c>
      <c r="E10" s="18">
        <f>雷!$U$12</f>
        <v>22401</v>
      </c>
      <c r="F10" s="18">
        <f>光!$U$12</f>
        <v>20965</v>
      </c>
      <c r="G10" s="26">
        <f>闇!$U$12</f>
        <v>22606</v>
      </c>
    </row>
    <row r="11" spans="1:7">
      <c r="A11" s="40" t="s">
        <v>103</v>
      </c>
      <c r="B11" s="37">
        <f>火!$U$21</f>
        <v>12622</v>
      </c>
      <c r="C11" s="18">
        <f>水!$U$21</f>
        <v>12732</v>
      </c>
      <c r="D11" s="18">
        <f>風!$U$21</f>
        <v>12660</v>
      </c>
      <c r="E11" s="18">
        <f>雷!$U$21</f>
        <v>13674</v>
      </c>
      <c r="F11" s="18">
        <f>光!$U$21</f>
        <v>11142</v>
      </c>
      <c r="G11" s="26">
        <f>闇!$U$21</f>
        <v>9485</v>
      </c>
    </row>
    <row r="12" spans="1:7">
      <c r="A12" s="40" t="s">
        <v>106</v>
      </c>
      <c r="B12" s="37">
        <f>火!$U$24</f>
        <v>34536</v>
      </c>
      <c r="C12" s="18">
        <f>水!$U$24</f>
        <v>34679</v>
      </c>
      <c r="D12" s="18">
        <f>風!$U$24</f>
        <v>33554</v>
      </c>
      <c r="E12" s="18">
        <f>雷!$U$24</f>
        <v>36075</v>
      </c>
      <c r="F12" s="18">
        <f>光!$U$24</f>
        <v>32107</v>
      </c>
      <c r="G12" s="26">
        <f>闇!$U$24</f>
        <v>32091</v>
      </c>
    </row>
    <row r="13" spans="1:7">
      <c r="A13" s="40" t="s">
        <v>101</v>
      </c>
      <c r="B13" s="37">
        <f>火!$T$12</f>
        <v>1611</v>
      </c>
      <c r="C13" s="18">
        <f>水!$T$12</f>
        <v>1144</v>
      </c>
      <c r="D13" s="18">
        <f>風!$T$12</f>
        <v>1203</v>
      </c>
      <c r="E13" s="18">
        <f>雷!$T$12</f>
        <v>1171</v>
      </c>
      <c r="F13" s="18">
        <f>光!$T$12</f>
        <v>1351</v>
      </c>
      <c r="G13" s="26">
        <f>闇!$T$12</f>
        <v>1450</v>
      </c>
    </row>
    <row r="14" spans="1:7">
      <c r="A14" s="40" t="s">
        <v>102</v>
      </c>
      <c r="B14" s="37">
        <f>火!$T$21</f>
        <v>3919</v>
      </c>
      <c r="C14" s="18">
        <f>水!$T$21</f>
        <v>3914</v>
      </c>
      <c r="D14" s="18">
        <f>風!$T$21</f>
        <v>3872</v>
      </c>
      <c r="E14" s="18">
        <f>雷!$T$21</f>
        <v>4160</v>
      </c>
      <c r="F14" s="18">
        <f>光!$T$21</f>
        <v>4305</v>
      </c>
      <c r="G14" s="26">
        <f>闇!$T$21</f>
        <v>3552</v>
      </c>
    </row>
    <row r="15" spans="1:7" ht="13.8" thickBot="1">
      <c r="A15" s="46" t="s">
        <v>107</v>
      </c>
      <c r="B15" s="45">
        <f>火!$T$24</f>
        <v>5530</v>
      </c>
      <c r="C15" s="28">
        <f>水!$T$24</f>
        <v>5058</v>
      </c>
      <c r="D15" s="28">
        <f>風!$T$24</f>
        <v>5075</v>
      </c>
      <c r="E15" s="28">
        <f>雷!$T$24</f>
        <v>5331</v>
      </c>
      <c r="F15" s="28">
        <f>光!$T$24</f>
        <v>5656</v>
      </c>
      <c r="G15" s="29">
        <f>闇!$T$24</f>
        <v>5002</v>
      </c>
    </row>
  </sheetData>
  <phoneticPr fontId="1"/>
  <conditionalFormatting sqref="B3:G3">
    <cfRule type="top10" dxfId="13" priority="16" rank="2"/>
  </conditionalFormatting>
  <conditionalFormatting sqref="B4:G4">
    <cfRule type="top10" dxfId="12" priority="15" rank="2"/>
  </conditionalFormatting>
  <conditionalFormatting sqref="B5:G5">
    <cfRule type="top10" dxfId="11" priority="14" rank="2"/>
  </conditionalFormatting>
  <conditionalFormatting sqref="B6:G6">
    <cfRule type="top10" dxfId="10" priority="13" rank="2"/>
  </conditionalFormatting>
  <conditionalFormatting sqref="B2:G2">
    <cfRule type="top10" dxfId="9" priority="12" rank="2"/>
  </conditionalFormatting>
  <conditionalFormatting sqref="B8:G8">
    <cfRule type="top10" dxfId="8" priority="11" rank="2"/>
  </conditionalFormatting>
  <conditionalFormatting sqref="B9:G9">
    <cfRule type="top10" dxfId="7" priority="10" rank="2"/>
  </conditionalFormatting>
  <conditionalFormatting sqref="B10:G10">
    <cfRule type="top10" dxfId="6" priority="9" rank="2"/>
  </conditionalFormatting>
  <conditionalFormatting sqref="B11:G11">
    <cfRule type="top10" dxfId="5" priority="8" rank="2"/>
  </conditionalFormatting>
  <conditionalFormatting sqref="B12:G12">
    <cfRule type="top10" dxfId="4" priority="7" rank="2"/>
  </conditionalFormatting>
  <conditionalFormatting sqref="B13:G13">
    <cfRule type="top10" dxfId="3" priority="6" rank="2"/>
  </conditionalFormatting>
  <conditionalFormatting sqref="B14:G14">
    <cfRule type="top10" dxfId="2" priority="5" rank="2"/>
  </conditionalFormatting>
  <conditionalFormatting sqref="B15:G15">
    <cfRule type="top10" dxfId="1" priority="4" rank="2"/>
  </conditionalFormatting>
  <conditionalFormatting sqref="B7:G7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火</vt:lpstr>
      <vt:lpstr>水</vt:lpstr>
      <vt:lpstr>風</vt:lpstr>
      <vt:lpstr>雷</vt:lpstr>
      <vt:lpstr>光</vt:lpstr>
      <vt:lpstr>闇</vt:lpstr>
      <vt:lpstr>比較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harano</dc:creator>
  <cp:lastModifiedBy>harano</cp:lastModifiedBy>
  <dcterms:created xsi:type="dcterms:W3CDTF">2018-02-23T10:34:14Z</dcterms:created>
  <dcterms:modified xsi:type="dcterms:W3CDTF">2018-05-04T02:34:10Z</dcterms:modified>
</cp:coreProperties>
</file>